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3710" windowHeight="7155" activeTab="1"/>
  </bookViews>
  <sheets>
    <sheet name="Constants" sheetId="1" r:id="rId1"/>
    <sheet name="Thumper" sheetId="2" r:id="rId2"/>
  </sheets>
  <definedNames>
    <definedName name="_xlnm.Print_Area" localSheetId="0">'Constants'!$B$3:$I$72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<sst xmlns="http://schemas.openxmlformats.org/spreadsheetml/2006/main" count="104" uniqueCount="87">
  <si>
    <t>Constants</t>
  </si>
  <si>
    <t>Value</t>
  </si>
  <si>
    <t>Units</t>
  </si>
  <si>
    <t>Ethanol</t>
  </si>
  <si>
    <t>Water</t>
  </si>
  <si>
    <t>Reference</t>
  </si>
  <si>
    <t>Liquid density</t>
  </si>
  <si>
    <t>g/mL</t>
  </si>
  <si>
    <t>Molecular weight</t>
  </si>
  <si>
    <t>g/mol</t>
  </si>
  <si>
    <t>Liquid Heat Capacity</t>
  </si>
  <si>
    <t>J/gK</t>
  </si>
  <si>
    <t>Perry 3-183</t>
  </si>
  <si>
    <t>Temperature</t>
  </si>
  <si>
    <t>Liquid (x)</t>
  </si>
  <si>
    <t>Vapour (y)</t>
  </si>
  <si>
    <t>Liquid-vapour Equilibrium data for Ethanol-Water: Perry 13-12</t>
  </si>
  <si>
    <t>Mole Fraction</t>
  </si>
  <si>
    <t>C</t>
  </si>
  <si>
    <t>W</t>
  </si>
  <si>
    <t xml:space="preserve">J/g </t>
  </si>
  <si>
    <t>%</t>
  </si>
  <si>
    <t>Vapour Pressure @ 90C</t>
  </si>
  <si>
    <t>torr</t>
  </si>
  <si>
    <t>Perry 13-4</t>
  </si>
  <si>
    <t>Mass Fraction (g/g)</t>
  </si>
  <si>
    <t>Volume Fraction (mL/mL)</t>
  </si>
  <si>
    <t>Perry 3.2</t>
  </si>
  <si>
    <t>Vapour density @ 90C</t>
  </si>
  <si>
    <t>PV=nRT</t>
  </si>
  <si>
    <t>Liquid Viscosity</t>
  </si>
  <si>
    <t>Perry 3-252</t>
  </si>
  <si>
    <t>Surface Tension</t>
  </si>
  <si>
    <t>min</t>
  </si>
  <si>
    <t>Time</t>
  </si>
  <si>
    <t>mL</t>
  </si>
  <si>
    <t>Vapour</t>
  </si>
  <si>
    <t xml:space="preserve">Heat of Vapourisation : Hv = Ho x ( (1-T/Tc)/(1-To-Tc) ) ^ (A +B(1-T/Tc)) </t>
  </si>
  <si>
    <t>Ho</t>
  </si>
  <si>
    <t>Tc</t>
  </si>
  <si>
    <t>A</t>
  </si>
  <si>
    <t>B</t>
  </si>
  <si>
    <t>J/mol</t>
  </si>
  <si>
    <t>Liquid (x) mL</t>
  </si>
  <si>
    <t>Vapour (y) mL</t>
  </si>
  <si>
    <t>Heat of Vapourisation @90C</t>
  </si>
  <si>
    <t>from Table below</t>
  </si>
  <si>
    <t>kg/ms</t>
  </si>
  <si>
    <t>Gas Viscosity</t>
  </si>
  <si>
    <t>Perry 3-311</t>
  </si>
  <si>
    <t>kg/s2</t>
  </si>
  <si>
    <t>?</t>
  </si>
  <si>
    <t>Coulson</t>
  </si>
  <si>
    <t>Gas Diffusivity (air/eth only)</t>
  </si>
  <si>
    <t>m2/s</t>
  </si>
  <si>
    <t>Liquid Diffusivity (eth/water)</t>
  </si>
  <si>
    <t>Perry 3-319</t>
  </si>
  <si>
    <t>x 133.322=Pa</t>
  </si>
  <si>
    <t>Estimate via Correlation</t>
  </si>
  <si>
    <t>Thumper Calcs over Time</t>
  </si>
  <si>
    <t>timestep (min)</t>
  </si>
  <si>
    <t>thumper vol (L)</t>
  </si>
  <si>
    <t>% start in thumper</t>
  </si>
  <si>
    <t xml:space="preserve">mL </t>
  </si>
  <si>
    <t>BP</t>
  </si>
  <si>
    <t>start temp in thump</t>
  </si>
  <si>
    <t>h2o</t>
  </si>
  <si>
    <t>eth</t>
  </si>
  <si>
    <t>h20</t>
  </si>
  <si>
    <t>% of vap</t>
  </si>
  <si>
    <t>Thumper contents</t>
  </si>
  <si>
    <t>possible T rise</t>
  </si>
  <si>
    <t>Thumper temp</t>
  </si>
  <si>
    <t>heat up</t>
  </si>
  <si>
    <t>make vap</t>
  </si>
  <si>
    <t>Use of incoming energy</t>
  </si>
  <si>
    <t>Vapour lost from thumper</t>
  </si>
  <si>
    <t>total</t>
  </si>
  <si>
    <t>energy input</t>
  </si>
  <si>
    <t>Boiler</t>
  </si>
  <si>
    <t>vap eth</t>
  </si>
  <si>
    <t>pot %</t>
  </si>
  <si>
    <t>vap%</t>
  </si>
  <si>
    <t>ml vap</t>
  </si>
  <si>
    <t>vap h20</t>
  </si>
  <si>
    <t>pot volume</t>
  </si>
  <si>
    <t>pot start %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</si>
</sst>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.00000000000000"/>
    <numFmt numFmtId="188" formatCode="0.0000000000000"/>
    <numFmt numFmtId="189" formatCode="0.000000000000"/>
    <numFmt numFmtId="190" formatCode="0.0%"/>
    <numFmt numFmtId="191" formatCode="&quot;Plate&quot;\ 0"/>
    <numFmt numFmtId="192" formatCode="0.0000E+00;\ߔ"/>
    <numFmt numFmtId="193" formatCode="0.0000E+00;\礠"/>
    <numFmt numFmtId="194" formatCode="0.000E+00;\礠"/>
    <numFmt numFmtId="195" formatCode="0.00E+00;\礠"/>
    <numFmt numFmtId="196" formatCode="0.0E+00;\礠"/>
    <numFmt numFmtId="197" formatCode="0E+00;\礠"/>
    <numFmt numFmtId="198" formatCode="0.000E+00"/>
    <numFmt numFmtId="199" formatCode="0.0E+00"/>
    <numFmt numFmtId="200" formatCode="0E+00"/>
    <numFmt numFmtId="201" formatCode="_-* #,##0.0_-;\-* #,##0.0_-;_-* &quot;-&quot;??_-;_-@_-"/>
    <numFmt numFmtId="202" formatCode="_-* #,##0_-;\-* #,##0_-;_-* &quot;-&quot;??_-;_-@_-"/>
    <numFmt numFmtId="203" formatCode="_-* #,##0.000_-;\-* #,##0.000_-;_-* &quot;-&quot;??_-;_-@_-"/>
    <numFmt numFmtId="204" formatCode="_-* #,##0.000_-;\-* #,##0.000_-;_-* &quot;-&quot;?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0.00\ &quot;=&quot;"/>
    <numFmt numFmtId="210" formatCode="0.00\ &quot;+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2"/>
    </font>
    <font>
      <b/>
      <sz val="15"/>
      <name val="Arial"/>
      <family val="2"/>
    </font>
    <font>
      <sz val="15"/>
      <name val="Arial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0" xfId="0" applyNumberFormat="1" applyFill="1" applyBorder="1" applyAlignment="1">
      <alignment horizontal="center"/>
    </xf>
    <xf numFmtId="0" fontId="2" fillId="3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4" fontId="0" fillId="2" borderId="0" xfId="0" applyNumberFormat="1" applyFill="1" applyAlignment="1">
      <alignment/>
    </xf>
    <xf numFmtId="9" fontId="0" fillId="2" borderId="0" xfId="19" applyFill="1" applyAlignment="1">
      <alignment/>
    </xf>
    <xf numFmtId="1" fontId="0" fillId="2" borderId="0" xfId="0" applyNumberFormat="1" applyFill="1" applyAlignment="1">
      <alignment/>
    </xf>
    <xf numFmtId="11" fontId="0" fillId="2" borderId="1" xfId="0" applyNumberFormat="1" applyFill="1" applyBorder="1" applyAlignment="1">
      <alignment horizontal="center"/>
    </xf>
    <xf numFmtId="172" fontId="0" fillId="2" borderId="0" xfId="0" applyNumberFormat="1" applyFill="1" applyAlignment="1">
      <alignment/>
    </xf>
    <xf numFmtId="9" fontId="0" fillId="2" borderId="0" xfId="19" applyFill="1" applyAlignment="1">
      <alignment horizontal="center"/>
    </xf>
    <xf numFmtId="174" fontId="0" fillId="2" borderId="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5" borderId="0" xfId="0" applyFill="1" applyAlignment="1">
      <alignment/>
    </xf>
    <xf numFmtId="9" fontId="0" fillId="5" borderId="0" xfId="19" applyFill="1" applyAlignment="1">
      <alignment/>
    </xf>
    <xf numFmtId="1" fontId="0" fillId="2" borderId="0" xfId="0" applyNumberFormat="1" applyFill="1" applyAlignment="1">
      <alignment horizontal="center"/>
    </xf>
    <xf numFmtId="190" fontId="0" fillId="2" borderId="0" xfId="19" applyNumberForma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190" fontId="0" fillId="3" borderId="0" xfId="19" applyNumberForma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1" fontId="0" fillId="2" borderId="3" xfId="0" applyNumberFormat="1" applyFill="1" applyBorder="1" applyAlignment="1">
      <alignment horizontal="center"/>
    </xf>
    <xf numFmtId="11" fontId="0" fillId="2" borderId="4" xfId="0" applyNumberFormat="1" applyFill="1" applyBorder="1" applyAlignment="1">
      <alignment horizontal="center"/>
    </xf>
    <xf numFmtId="0" fontId="0" fillId="2" borderId="0" xfId="0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Equilibrium Data</a:t>
            </a:r>
          </a:p>
        </c:rich>
      </c:tx>
      <c:layout>
        <c:manualLayout>
          <c:xMode val="factor"/>
          <c:yMode val="factor"/>
          <c:x val="0.015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5425"/>
          <c:w val="0.88075"/>
          <c:h val="0.81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Constants!$H$36</c:f>
              <c:strCache>
                <c:ptCount val="1"/>
                <c:pt idx="0">
                  <c:v>Vapour (y) 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(Constants!$G$37:$G$70,Constants!$H$76:$H$77)</c:f>
              <c:numCache/>
            </c:numRef>
          </c:xVal>
          <c:yVal>
            <c:numRef>
              <c:f>(Constants!$H$37:$H$70,Constants!$H$76:$H$77)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FFFF00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(Constants!$I$37:$I$57,Constants!$H$76:$H$77)</c:f>
              <c:numCache/>
            </c:numRef>
          </c:xVal>
          <c:yVal>
            <c:numRef>
              <c:f>Constants!$J$37:$J$57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Constants!$H$76:$H$77</c:f>
              <c:numCache/>
            </c:numRef>
          </c:xVal>
          <c:yVal>
            <c:numRef>
              <c:f>Constants!$I$76:$I$77</c:f>
              <c:numCache/>
            </c:numRef>
          </c:yVal>
          <c:smooth val="1"/>
        </c:ser>
        <c:axId val="15775181"/>
        <c:axId val="7758902"/>
      </c:scatterChart>
      <c:valAx>
        <c:axId val="1577518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mL Ethanol in Liquid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7758902"/>
        <c:crosses val="autoZero"/>
        <c:crossBetween val="midCat"/>
        <c:dispUnits/>
      </c:valAx>
      <c:valAx>
        <c:axId val="77589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ml Ethanol in Vapour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5775181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Boiling Point</a:t>
            </a:r>
          </a:p>
        </c:rich>
      </c:tx>
      <c:layout>
        <c:manualLayout>
          <c:xMode val="factor"/>
          <c:yMode val="factor"/>
          <c:x val="0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6"/>
          <c:w val="0.9465"/>
          <c:h val="0.7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Constants!$B$36</c:f>
              <c:strCache>
                <c:ptCount val="1"/>
                <c:pt idx="0">
                  <c:v>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6"/>
            <c:intercept val="10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Constants!$G$37:$G$52</c:f>
              <c:numCache/>
            </c:numRef>
          </c:xVal>
          <c:yVal>
            <c:numRef>
              <c:f>Constants!$B$37:$B$52</c:f>
              <c:numCache/>
            </c:numRef>
          </c:yVal>
          <c:smooth val="1"/>
        </c:ser>
        <c:axId val="2721255"/>
        <c:axId val="24491296"/>
      </c:scatterChart>
      <c:valAx>
        <c:axId val="27212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mL Ethanol in Liquid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491296"/>
        <c:crosses val="autoZero"/>
        <c:crossBetween val="midCat"/>
        <c:dispUnits/>
      </c:valAx>
      <c:valAx>
        <c:axId val="24491296"/>
        <c:scaling>
          <c:orientation val="minMax"/>
          <c:max val="100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Equilibrium Data</a:t>
            </a:r>
          </a:p>
        </c:rich>
      </c:tx>
      <c:layout>
        <c:manualLayout>
          <c:xMode val="factor"/>
          <c:yMode val="factor"/>
          <c:x val="0.015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33"/>
          <c:w val="0.88925"/>
          <c:h val="0.73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Constants!$H$36</c:f>
              <c:strCache>
                <c:ptCount val="1"/>
                <c:pt idx="0">
                  <c:v>Vapour (y) mL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Constants!$G$37:$G$70</c:f>
              <c:numCache/>
            </c:numRef>
          </c:xVal>
          <c:yVal>
            <c:numRef>
              <c:f>Constants!$H$37:$H$70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Constants!$H$76:$H$77</c:f>
              <c:numCache/>
            </c:numRef>
          </c:xVal>
          <c:yVal>
            <c:numRef>
              <c:f>Constants!$I$76:$I$77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Constants!$I$37:$I$57</c:f>
              <c:numCache/>
            </c:numRef>
          </c:xVal>
          <c:yVal>
            <c:numRef>
              <c:f>Constants!$J$37:$J$57</c:f>
              <c:numCache/>
            </c:numRef>
          </c:yVal>
          <c:smooth val="1"/>
        </c:ser>
        <c:axId val="19095073"/>
        <c:axId val="37637930"/>
      </c:scatterChart>
      <c:valAx>
        <c:axId val="19095073"/>
        <c:scaling>
          <c:orientation val="minMax"/>
          <c:max val="1"/>
          <c:min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mL Ethanol in Liquid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7637930"/>
        <c:crosses val="autoZero"/>
        <c:crossBetween val="midCat"/>
        <c:dispUnits/>
        <c:majorUnit val="0.02"/>
      </c:valAx>
      <c:valAx>
        <c:axId val="37637930"/>
        <c:scaling>
          <c:orientation val="minMax"/>
          <c:max val="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ml Ethanol in Vapour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9095073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875"/>
          <c:w val="0.970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v>from Thumper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Thumper!$R$4:$R$58</c:f>
              <c:numCache>
                <c:ptCount val="55"/>
                <c:pt idx="0">
                  <c:v>0.7507769599999996</c:v>
                </c:pt>
                <c:pt idx="1">
                  <c:v>0.7516683469197605</c:v>
                </c:pt>
                <c:pt idx="2">
                  <c:v>0.7525429219846353</c:v>
                </c:pt>
                <c:pt idx="3">
                  <c:v>0.7534002562334452</c:v>
                </c:pt>
                <c:pt idx="4">
                  <c:v>0.7542399717270936</c:v>
                </c:pt>
                <c:pt idx="5">
                  <c:v>0.755061738434188</c:v>
                </c:pt>
                <c:pt idx="6">
                  <c:v>0.7558652710912619</c:v>
                </c:pt>
                <c:pt idx="7">
                  <c:v>0.7566503260907051</c:v>
                </c:pt>
                <c:pt idx="8">
                  <c:v>0.7574166984365065</c:v>
                </c:pt>
                <c:pt idx="9">
                  <c:v>0.7581642187973534</c:v>
                </c:pt>
                <c:pt idx="10">
                  <c:v>0.7588927506783101</c:v>
                </c:pt>
                <c:pt idx="11">
                  <c:v>0.7596021877255477</c:v>
                </c:pt>
                <c:pt idx="12">
                  <c:v>0.7602924511734725</c:v>
                </c:pt>
                <c:pt idx="13">
                  <c:v>0.7609634874393252</c:v>
                </c:pt>
                <c:pt idx="14">
                  <c:v>0.7616152658672317</c:v>
                </c:pt>
                <c:pt idx="15">
                  <c:v>0.7609705783176008</c:v>
                </c:pt>
                <c:pt idx="16">
                  <c:v>0.7593180891836084</c:v>
                </c:pt>
                <c:pt idx="17">
                  <c:v>0.7576851229987054</c:v>
                </c:pt>
                <c:pt idx="18">
                  <c:v>0.7560544795461888</c:v>
                </c:pt>
                <c:pt idx="19">
                  <c:v>0.7544283648452317</c:v>
                </c:pt>
                <c:pt idx="20">
                  <c:v>0.7528086846044424</c:v>
                </c:pt>
                <c:pt idx="21">
                  <c:v>0.7511974044954717</c:v>
                </c:pt>
                <c:pt idx="22">
                  <c:v>0.7495965320561986</c:v>
                </c:pt>
                <c:pt idx="23">
                  <c:v>0.7480081025079834</c:v>
                </c:pt>
                <c:pt idx="24">
                  <c:v>0.746434160471428</c:v>
                </c:pt>
                <c:pt idx="25">
                  <c:v>0.7448767368648817</c:v>
                </c:pt>
                <c:pt idx="26">
                  <c:v>0.7433378199521328</c:v>
                </c:pt>
                <c:pt idx="27">
                  <c:v>0.7418193193031035</c:v>
                </c:pt>
                <c:pt idx="28">
                  <c:v>0.7403230211886784</c:v>
                </c:pt>
                <c:pt idx="29">
                  <c:v>0.7388505336458455</c:v>
                </c:pt>
                <c:pt idx="30">
                  <c:v>0.7374032191171511</c:v>
                </c:pt>
                <c:pt idx="31">
                  <c:v>0.7359821121847987</c:v>
                </c:pt>
                <c:pt idx="32">
                  <c:v>0.7345878194821376</c:v>
                </c:pt>
                <c:pt idx="33">
                  <c:v>0.7332203983739873</c:v>
                </c:pt>
                <c:pt idx="34">
                  <c:v>0.7318792104583727</c:v>
                </c:pt>
                <c:pt idx="35">
                  <c:v>0.7305627453691135</c:v>
                </c:pt>
                <c:pt idx="36">
                  <c:v>0.7292684097785473</c:v>
                </c:pt>
                <c:pt idx="37">
                  <c:v>0.7279922759576514</c:v>
                </c:pt>
                <c:pt idx="38">
                  <c:v>0.7267287838200036</c:v>
                </c:pt>
                <c:pt idx="39">
                  <c:v>0.7254703901679376</c:v>
                </c:pt>
                <c:pt idx="40">
                  <c:v>0.7242071590382384</c:v>
                </c:pt>
                <c:pt idx="41">
                  <c:v>0.7229262878450804</c:v>
                </c:pt>
                <c:pt idx="42">
                  <c:v>0.721611565763066</c:v>
                </c:pt>
                <c:pt idx="43">
                  <c:v>0.7202427639133766</c:v>
                </c:pt>
                <c:pt idx="44">
                  <c:v>0.7187949619598637</c:v>
                </c:pt>
                <c:pt idx="45">
                  <c:v>0.7172378233497616</c:v>
                </c:pt>
                <c:pt idx="46">
                  <c:v>0.7155348423778909</c:v>
                </c:pt>
                <c:pt idx="47">
                  <c:v>0.7136426012175456</c:v>
                </c:pt>
                <c:pt idx="48">
                  <c:v>0.7115100945289852</c:v>
                </c:pt>
                <c:pt idx="49">
                  <c:v>0.7090782031689358</c:v>
                </c:pt>
                <c:pt idx="50">
                  <c:v>0.7062794258067706</c:v>
                </c:pt>
                <c:pt idx="51">
                  <c:v>0.703038005197705</c:v>
                </c:pt>
                <c:pt idx="52">
                  <c:v>0.6992706094717742</c:v>
                </c:pt>
                <c:pt idx="53">
                  <c:v>0.6948877403115385</c:v>
                </c:pt>
                <c:pt idx="54">
                  <c:v>0.6897960289350129</c:v>
                </c:pt>
              </c:numCache>
            </c:numRef>
          </c:yVal>
          <c:smooth val="0"/>
        </c:ser>
        <c:ser>
          <c:idx val="1"/>
          <c:order val="1"/>
          <c:tx>
            <c:v>from Pot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Thumper!$D$4:$D$58</c:f>
              <c:numCache/>
            </c:numRef>
          </c:xVal>
          <c:yVal>
            <c:numRef>
              <c:f>Thumper!$I$4:$I$58</c:f>
              <c:numCache/>
            </c:numRef>
          </c:yVal>
          <c:smooth val="0"/>
        </c:ser>
        <c:axId val="3197051"/>
        <c:axId val="28773460"/>
      </c:scatterChart>
      <c:scatterChart>
        <c:scatterStyle val="lineMarker"/>
        <c:varyColors val="0"/>
        <c:ser>
          <c:idx val="2"/>
          <c:order val="2"/>
          <c:tx>
            <c:v>Thumper Volume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Thumper!$D$4:$D$58</c:f>
              <c:numCache/>
            </c:numRef>
          </c:xVal>
          <c:yVal>
            <c:numRef>
              <c:f>Thumper!$O$4:$O$58</c:f>
              <c:numCache>
                <c:ptCount val="55"/>
                <c:pt idx="0">
                  <c:v>3000</c:v>
                </c:pt>
                <c:pt idx="1">
                  <c:v>3031.4723571059662</c:v>
                </c:pt>
                <c:pt idx="2">
                  <c:v>3062.9047298209384</c:v>
                </c:pt>
                <c:pt idx="3">
                  <c:v>3094.2971888494576</c:v>
                </c:pt>
                <c:pt idx="4">
                  <c:v>3125.6498088715152</c:v>
                </c:pt>
                <c:pt idx="5">
                  <c:v>3156.9626686118418</c:v>
                </c:pt>
                <c:pt idx="6">
                  <c:v>3188.235850908436</c:v>
                </c:pt>
                <c:pt idx="7">
                  <c:v>3219.469442780218</c:v>
                </c:pt>
                <c:pt idx="8">
                  <c:v>3250.6635354936907</c:v>
                </c:pt>
                <c:pt idx="9">
                  <c:v>3281.8182246284923</c:v>
                </c:pt>
                <c:pt idx="10">
                  <c:v>3312.933610141698</c:v>
                </c:pt>
                <c:pt idx="11">
                  <c:v>3344.0097964307656</c:v>
                </c:pt>
                <c:pt idx="12">
                  <c:v>3375.0468923949734</c:v>
                </c:pt>
                <c:pt idx="13">
                  <c:v>3406.045011495224</c:v>
                </c:pt>
                <c:pt idx="14">
                  <c:v>3437.0042718120735</c:v>
                </c:pt>
                <c:pt idx="15">
                  <c:v>3433.23652438135</c:v>
                </c:pt>
                <c:pt idx="16">
                  <c:v>3402.4437910658935</c:v>
                </c:pt>
                <c:pt idx="17">
                  <c:v>3372.2871965984195</c:v>
                </c:pt>
                <c:pt idx="18">
                  <c:v>3342.2563420797987</c:v>
                </c:pt>
                <c:pt idx="19">
                  <c:v>3312.360651539449</c:v>
                </c:pt>
                <c:pt idx="20">
                  <c:v>3282.5997447463174</c:v>
                </c:pt>
                <c:pt idx="21">
                  <c:v>3252.9733224058627</c:v>
                </c:pt>
                <c:pt idx="22">
                  <c:v>3223.4809812678413</c:v>
                </c:pt>
                <c:pt idx="23">
                  <c:v>3194.122222381565</c:v>
                </c:pt>
                <c:pt idx="24">
                  <c:v>3164.896457335387</c:v>
                </c:pt>
                <c:pt idx="25">
                  <c:v>3135.8030166096773</c:v>
                </c:pt>
                <c:pt idx="26">
                  <c:v>3106.8411603633285</c:v>
                </c:pt>
                <c:pt idx="27">
                  <c:v>3078.0100921255153</c:v>
                </c:pt>
                <c:pt idx="28">
                  <c:v>3049.3089759510176</c:v>
                </c:pt>
                <c:pt idx="29">
                  <c:v>3020.7369577007303</c:v>
                </c:pt>
                <c:pt idx="30">
                  <c:v>2992.293191229396</c:v>
                </c:pt>
                <c:pt idx="31">
                  <c:v>2963.976870402046</c:v>
                </c:pt>
                <c:pt idx="32">
                  <c:v>2935.787268020686</c:v>
                </c:pt>
                <c:pt idx="33">
                  <c:v>2907.7237829244345</c:v>
                </c:pt>
                <c:pt idx="34">
                  <c:v>2879.785996729491</c:v>
                </c:pt>
                <c:pt idx="35">
                  <c:v>2851.9737418979535</c:v>
                </c:pt>
                <c:pt idx="36">
                  <c:v>2824.2871830617187</c:v>
                </c:pt>
                <c:pt idx="37">
                  <c:v>2796.726913770055</c:v>
                </c:pt>
                <c:pt idx="38">
                  <c:v>2769.2940710609396</c:v>
                </c:pt>
                <c:pt idx="39">
                  <c:v>2741.9904704515</c:v>
                </c:pt>
                <c:pt idx="40">
                  <c:v>2714.8187640633823</c:v>
                </c:pt>
                <c:pt idx="41">
                  <c:v>2687.7826245883116</c:v>
                </c:pt>
                <c:pt idx="42">
                  <c:v>2660.8869575781946</c:v>
                </c:pt>
                <c:pt idx="43">
                  <c:v>2634.138144004472</c:v>
                </c:pt>
                <c:pt idx="44">
                  <c:v>2607.5443140307425</c:v>
                </c:pt>
                <c:pt idx="45">
                  <c:v>2581.115651302148</c:v>
                </c:pt>
                <c:pt idx="46">
                  <c:v>2554.8647245629104</c:v>
                </c:pt>
                <c:pt idx="47">
                  <c:v>2528.806839840543</c:v>
                </c:pt>
                <c:pt idx="48">
                  <c:v>2502.960401568865</c:v>
                </c:pt>
                <c:pt idx="49">
                  <c:v>2477.3472647284852</c:v>
                </c:pt>
                <c:pt idx="50">
                  <c:v>2451.9930524080346</c:v>
                </c:pt>
                <c:pt idx="51">
                  <c:v>2426.9274044963677</c:v>
                </c:pt>
                <c:pt idx="52">
                  <c:v>2402.1841143588495</c:v>
                </c:pt>
                <c:pt idx="53">
                  <c:v>2377.801102835807</c:v>
                </c:pt>
                <c:pt idx="54">
                  <c:v>2353.820174966382</c:v>
                </c:pt>
              </c:numCache>
            </c:numRef>
          </c:yVal>
          <c:smooth val="0"/>
        </c:ser>
        <c:axId val="57634549"/>
        <c:axId val="48948894"/>
      </c:scatterChart>
      <c:val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3460"/>
        <c:crosses val="autoZero"/>
        <c:crossBetween val="midCat"/>
        <c:dispUnits/>
      </c:valAx>
      <c:valAx>
        <c:axId val="28773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7051"/>
        <c:crosses val="autoZero"/>
        <c:crossBetween val="midCat"/>
        <c:dispUnits/>
      </c:valAx>
      <c:valAx>
        <c:axId val="57634549"/>
        <c:scaling>
          <c:orientation val="minMax"/>
        </c:scaling>
        <c:axPos val="b"/>
        <c:delete val="1"/>
        <c:majorTickMark val="in"/>
        <c:minorTickMark val="none"/>
        <c:tickLblPos val="nextTo"/>
        <c:crossAx val="48948894"/>
        <c:crosses val="max"/>
        <c:crossBetween val="midCat"/>
        <c:dispUnits/>
      </c:valAx>
      <c:valAx>
        <c:axId val="48948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345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5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58</xdr:row>
      <xdr:rowOff>104775</xdr:rowOff>
    </xdr:from>
    <xdr:to>
      <xdr:col>14</xdr:col>
      <xdr:colOff>66675</xdr:colOff>
      <xdr:row>78</xdr:row>
      <xdr:rowOff>114300</xdr:rowOff>
    </xdr:to>
    <xdr:graphicFrame>
      <xdr:nvGraphicFramePr>
        <xdr:cNvPr id="1" name="Chart 8"/>
        <xdr:cNvGraphicFramePr/>
      </xdr:nvGraphicFramePr>
      <xdr:xfrm>
        <a:off x="5619750" y="9934575"/>
        <a:ext cx="4972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31</xdr:row>
      <xdr:rowOff>47625</xdr:rowOff>
    </xdr:from>
    <xdr:to>
      <xdr:col>19</xdr:col>
      <xdr:colOff>76200</xdr:colOff>
      <xdr:row>48</xdr:row>
      <xdr:rowOff>38100</xdr:rowOff>
    </xdr:to>
    <xdr:graphicFrame>
      <xdr:nvGraphicFramePr>
        <xdr:cNvPr id="2" name="Chart 9"/>
        <xdr:cNvGraphicFramePr/>
      </xdr:nvGraphicFramePr>
      <xdr:xfrm>
        <a:off x="9153525" y="5305425"/>
        <a:ext cx="4495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142875</xdr:colOff>
      <xdr:row>57</xdr:row>
      <xdr:rowOff>114300</xdr:rowOff>
    </xdr:from>
    <xdr:to>
      <xdr:col>23</xdr:col>
      <xdr:colOff>47625</xdr:colOff>
      <xdr:row>79</xdr:row>
      <xdr:rowOff>38100</xdr:rowOff>
    </xdr:to>
    <xdr:graphicFrame>
      <xdr:nvGraphicFramePr>
        <xdr:cNvPr id="3" name="Chart 49"/>
        <xdr:cNvGraphicFramePr/>
      </xdr:nvGraphicFramePr>
      <xdr:xfrm>
        <a:off x="10668000" y="9782175"/>
        <a:ext cx="53911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5</xdr:row>
      <xdr:rowOff>104775</xdr:rowOff>
    </xdr:from>
    <xdr:to>
      <xdr:col>12</xdr:col>
      <xdr:colOff>390525</xdr:colOff>
      <xdr:row>21</xdr:row>
      <xdr:rowOff>47625</xdr:rowOff>
    </xdr:to>
    <xdr:graphicFrame>
      <xdr:nvGraphicFramePr>
        <xdr:cNvPr id="1" name="Chart 179"/>
        <xdr:cNvGraphicFramePr/>
      </xdr:nvGraphicFramePr>
      <xdr:xfrm>
        <a:off x="2305050" y="1276350"/>
        <a:ext cx="46101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J77"/>
  <sheetViews>
    <sheetView zoomScale="75" zoomScaleNormal="75" workbookViewId="0" topLeftCell="G42">
      <selection activeCell="X81" sqref="X81"/>
    </sheetView>
  </sheetViews>
  <sheetFormatPr defaultColWidth="9.140625" defaultRowHeight="12.75"/>
  <cols>
    <col min="1" max="1" width="3.57421875" style="1" customWidth="1"/>
    <col min="2" max="2" width="23.7109375" style="1" customWidth="1"/>
    <col min="3" max="3" width="12.421875" style="3" customWidth="1"/>
    <col min="4" max="4" width="10.7109375" style="3" customWidth="1"/>
    <col min="5" max="5" width="12.28125" style="3" customWidth="1"/>
    <col min="6" max="6" width="22.00390625" style="1" customWidth="1"/>
    <col min="7" max="16384" width="9.140625" style="1" customWidth="1"/>
  </cols>
  <sheetData>
    <row r="1" ht="25.5" customHeight="1"/>
    <row r="3" spans="2:5" s="2" customFormat="1" ht="18.75" customHeight="1">
      <c r="B3" s="16" t="s">
        <v>0</v>
      </c>
      <c r="C3" s="4"/>
      <c r="D3" s="4"/>
      <c r="E3" s="4"/>
    </row>
    <row r="5" spans="2:6" ht="12.75">
      <c r="B5" s="9" t="s">
        <v>1</v>
      </c>
      <c r="C5" s="10" t="s">
        <v>2</v>
      </c>
      <c r="D5" s="10" t="s">
        <v>3</v>
      </c>
      <c r="E5" s="10" t="s">
        <v>4</v>
      </c>
      <c r="F5" s="9" t="s">
        <v>5</v>
      </c>
    </row>
    <row r="6" spans="2:6" ht="12.75">
      <c r="B6" s="6" t="s">
        <v>6</v>
      </c>
      <c r="C6" s="7" t="s">
        <v>7</v>
      </c>
      <c r="D6" s="7">
        <v>0.789</v>
      </c>
      <c r="E6" s="8">
        <v>1</v>
      </c>
      <c r="F6" s="6" t="s">
        <v>27</v>
      </c>
    </row>
    <row r="7" spans="2:6" ht="12.75">
      <c r="B7" s="6" t="s">
        <v>28</v>
      </c>
      <c r="C7" s="7" t="s">
        <v>7</v>
      </c>
      <c r="D7" s="11">
        <f>D8/((273+90)*0.082056)/1000</f>
        <v>0.0015464611817878325</v>
      </c>
      <c r="E7" s="8">
        <f>E8/((273+90)*0.082056)/1000</f>
        <v>0.0006048143967259072</v>
      </c>
      <c r="F7" s="6" t="s">
        <v>29</v>
      </c>
    </row>
    <row r="8" spans="2:6" ht="12.75">
      <c r="B8" s="6" t="s">
        <v>8</v>
      </c>
      <c r="C8" s="7" t="s">
        <v>9</v>
      </c>
      <c r="D8" s="7">
        <v>46.0634</v>
      </c>
      <c r="E8" s="7">
        <v>18.0152</v>
      </c>
      <c r="F8" s="6" t="s">
        <v>27</v>
      </c>
    </row>
    <row r="9" spans="2:6" ht="12.75">
      <c r="B9" s="6" t="s">
        <v>10</v>
      </c>
      <c r="C9" s="7" t="s">
        <v>11</v>
      </c>
      <c r="D9" s="8">
        <f>0.68*4.184</f>
        <v>2.8451200000000005</v>
      </c>
      <c r="E9" s="7">
        <v>4.184</v>
      </c>
      <c r="F9" s="6" t="s">
        <v>12</v>
      </c>
    </row>
    <row r="10" spans="2:6" ht="12.75">
      <c r="B10" s="6" t="s">
        <v>45</v>
      </c>
      <c r="C10" s="7" t="s">
        <v>20</v>
      </c>
      <c r="D10" s="13">
        <f>C29/D8</f>
        <v>761.1345998893166</v>
      </c>
      <c r="E10" s="13">
        <f>D29/E8</f>
        <v>2136.8877894003617</v>
      </c>
      <c r="F10" s="6" t="s">
        <v>46</v>
      </c>
    </row>
    <row r="11" spans="2:7" ht="12.75">
      <c r="B11" s="6" t="s">
        <v>22</v>
      </c>
      <c r="C11" s="7" t="s">
        <v>23</v>
      </c>
      <c r="D11" s="13">
        <f>vap_pres(90,8.1122,1592.864,226.184)</f>
        <v>1186.9284164733015</v>
      </c>
      <c r="E11" s="13">
        <f>vap_pres(90,8.07131,1730.63,233.426)</f>
        <v>525.2664328234991</v>
      </c>
      <c r="F11" s="6" t="s">
        <v>24</v>
      </c>
      <c r="G11" s="1" t="s">
        <v>57</v>
      </c>
    </row>
    <row r="12" spans="2:6" ht="12.75">
      <c r="B12" s="6" t="s">
        <v>30</v>
      </c>
      <c r="C12" s="7" t="s">
        <v>47</v>
      </c>
      <c r="D12" s="7">
        <f>0.37/1000</f>
        <v>0.00037</v>
      </c>
      <c r="E12" s="7">
        <f>0.32/1000</f>
        <v>0.00032</v>
      </c>
      <c r="F12" s="6" t="s">
        <v>31</v>
      </c>
    </row>
    <row r="13" spans="2:6" ht="12.75">
      <c r="B13" s="6" t="s">
        <v>48</v>
      </c>
      <c r="C13" s="7" t="s">
        <v>47</v>
      </c>
      <c r="D13" s="22">
        <v>1.08E-05</v>
      </c>
      <c r="E13" s="22">
        <v>1.25E-05</v>
      </c>
      <c r="F13" s="6" t="s">
        <v>49</v>
      </c>
    </row>
    <row r="14" spans="2:6" ht="12.75">
      <c r="B14" s="6" t="s">
        <v>32</v>
      </c>
      <c r="C14" s="7" t="s">
        <v>50</v>
      </c>
      <c r="D14" s="7" t="s">
        <v>51</v>
      </c>
      <c r="E14" s="7">
        <v>0.07</v>
      </c>
      <c r="F14" s="6" t="s">
        <v>52</v>
      </c>
    </row>
    <row r="15" spans="2:6" ht="12.75">
      <c r="B15" s="6" t="s">
        <v>53</v>
      </c>
      <c r="C15" s="7" t="s">
        <v>54</v>
      </c>
      <c r="D15" s="37">
        <v>1.02E-05</v>
      </c>
      <c r="E15" s="38"/>
      <c r="F15" s="6" t="s">
        <v>56</v>
      </c>
    </row>
    <row r="16" spans="2:6" ht="12.75">
      <c r="B16" s="6" t="s">
        <v>55</v>
      </c>
      <c r="C16" s="7" t="s">
        <v>54</v>
      </c>
      <c r="D16" s="37">
        <v>1.28E-09</v>
      </c>
      <c r="E16" s="38"/>
      <c r="F16" s="6" t="s">
        <v>56</v>
      </c>
    </row>
    <row r="17" spans="2:6" ht="12.75">
      <c r="B17" s="6"/>
      <c r="C17" s="7"/>
      <c r="D17" s="7"/>
      <c r="E17" s="7"/>
      <c r="F17" s="6"/>
    </row>
    <row r="18" spans="2:6" ht="12.75">
      <c r="B18" s="14"/>
      <c r="C18" s="17"/>
      <c r="D18" s="17"/>
      <c r="E18" s="17"/>
      <c r="F18" s="14"/>
    </row>
    <row r="19" spans="2:6" ht="12.75">
      <c r="B19" s="14" t="s">
        <v>37</v>
      </c>
      <c r="C19" s="17"/>
      <c r="D19" s="17"/>
      <c r="E19" s="17"/>
      <c r="F19" s="14"/>
    </row>
    <row r="20" spans="2:6" ht="12.75">
      <c r="B20" s="14"/>
      <c r="C20" s="17"/>
      <c r="D20" s="17"/>
      <c r="E20" s="17"/>
      <c r="F20" s="14"/>
    </row>
    <row r="21" spans="2:5" ht="12.75">
      <c r="B21" s="9" t="s">
        <v>1</v>
      </c>
      <c r="C21" s="10" t="s">
        <v>3</v>
      </c>
      <c r="D21" s="10" t="s">
        <v>4</v>
      </c>
      <c r="E21" s="14"/>
    </row>
    <row r="22" spans="2:5" ht="12.75">
      <c r="B22" s="7" t="s">
        <v>38</v>
      </c>
      <c r="C22" s="7">
        <f>9260*4.184</f>
        <v>38743.840000000004</v>
      </c>
      <c r="D22" s="7">
        <f>9751.4*4.184</f>
        <v>40799.8576</v>
      </c>
      <c r="E22" s="14"/>
    </row>
    <row r="23" spans="2:5" ht="12.75">
      <c r="B23" s="7" t="s">
        <v>39</v>
      </c>
      <c r="C23" s="7">
        <v>513.9</v>
      </c>
      <c r="D23" s="11">
        <v>647.3</v>
      </c>
      <c r="E23" s="14"/>
    </row>
    <row r="24" spans="2:5" ht="12.75">
      <c r="B24" s="7" t="s">
        <v>40</v>
      </c>
      <c r="C24" s="7">
        <v>0.32</v>
      </c>
      <c r="D24" s="7">
        <v>0.19</v>
      </c>
      <c r="E24" s="14"/>
    </row>
    <row r="25" spans="2:5" ht="12.75">
      <c r="B25" s="7" t="s">
        <v>41</v>
      </c>
      <c r="C25" s="7">
        <v>-0.14</v>
      </c>
      <c r="D25" s="8">
        <v>0.21</v>
      </c>
      <c r="E25" s="1"/>
    </row>
    <row r="26" spans="2:5" ht="12.75">
      <c r="B26" s="14"/>
      <c r="C26" s="17"/>
      <c r="D26" s="18"/>
      <c r="E26" s="17"/>
    </row>
    <row r="27" spans="2:5" ht="12.75">
      <c r="B27" s="7">
        <v>80</v>
      </c>
      <c r="C27" s="13">
        <f aca="true" t="shared" si="0" ref="C27:D30">Hv(273+$B27,C$22,C$23,C$24,C$25)</f>
        <v>35722.11227133497</v>
      </c>
      <c r="D27" s="13">
        <f t="shared" si="0"/>
        <v>38852.296780236415</v>
      </c>
      <c r="E27" s="17" t="s">
        <v>42</v>
      </c>
    </row>
    <row r="28" spans="2:5" ht="12.75">
      <c r="B28" s="7">
        <v>85</v>
      </c>
      <c r="C28" s="13">
        <f t="shared" si="0"/>
        <v>35396.33466358476</v>
      </c>
      <c r="D28" s="13">
        <f t="shared" si="0"/>
        <v>38674.525066771275</v>
      </c>
      <c r="E28" s="17" t="s">
        <v>42</v>
      </c>
    </row>
    <row r="29" spans="2:5" ht="12.75">
      <c r="B29" s="7">
        <v>90</v>
      </c>
      <c r="C29" s="13">
        <f t="shared" si="0"/>
        <v>35060.44752854155</v>
      </c>
      <c r="D29" s="13">
        <f t="shared" si="0"/>
        <v>38496.460903605395</v>
      </c>
      <c r="E29" s="17" t="s">
        <v>42</v>
      </c>
    </row>
    <row r="30" spans="2:5" ht="12.75">
      <c r="B30" s="7">
        <v>95</v>
      </c>
      <c r="C30" s="13">
        <f t="shared" si="0"/>
        <v>34713.97529222649</v>
      </c>
      <c r="D30" s="13">
        <f t="shared" si="0"/>
        <v>38318.05755006951</v>
      </c>
      <c r="E30" s="17" t="s">
        <v>42</v>
      </c>
    </row>
    <row r="31" spans="2:5" ht="12.75">
      <c r="B31" s="14"/>
      <c r="C31" s="17"/>
      <c r="D31" s="18"/>
      <c r="E31" s="17"/>
    </row>
    <row r="32" spans="2:5" ht="12.75">
      <c r="B32" s="14"/>
      <c r="C32" s="17"/>
      <c r="D32" s="18"/>
      <c r="E32" s="17"/>
    </row>
    <row r="33" ht="12.75">
      <c r="B33" s="1" t="s">
        <v>16</v>
      </c>
    </row>
    <row r="35" spans="2:8" ht="15.75" customHeight="1">
      <c r="B35" s="9"/>
      <c r="C35" s="35" t="s">
        <v>17</v>
      </c>
      <c r="D35" s="36"/>
      <c r="E35" s="35" t="s">
        <v>25</v>
      </c>
      <c r="F35" s="36"/>
      <c r="G35" s="35" t="s">
        <v>26</v>
      </c>
      <c r="H35" s="36"/>
    </row>
    <row r="36" spans="2:9" ht="25.5">
      <c r="B36" s="10" t="s">
        <v>13</v>
      </c>
      <c r="C36" s="12" t="s">
        <v>14</v>
      </c>
      <c r="D36" s="12" t="s">
        <v>15</v>
      </c>
      <c r="E36" s="12" t="s">
        <v>14</v>
      </c>
      <c r="F36" s="12" t="s">
        <v>15</v>
      </c>
      <c r="G36" s="12" t="s">
        <v>43</v>
      </c>
      <c r="H36" s="12" t="s">
        <v>44</v>
      </c>
      <c r="I36" s="1" t="s">
        <v>58</v>
      </c>
    </row>
    <row r="37" spans="2:10" ht="12.75">
      <c r="B37" s="7">
        <v>100</v>
      </c>
      <c r="C37" s="8">
        <v>0</v>
      </c>
      <c r="D37" s="8">
        <v>0</v>
      </c>
      <c r="E37" s="11"/>
      <c r="F37" s="11"/>
      <c r="G37" s="11">
        <f>C37*$D$8/$D$6/(C37*$D$8/$D$6+(1-C37)*$E$8/$E$6)</f>
        <v>0</v>
      </c>
      <c r="H37" s="11">
        <f>D37*$D$8/$D$6/(D37*$D$8/$D$6+(1-D37)*$E$8/$E$6)</f>
        <v>0</v>
      </c>
      <c r="I37" s="11">
        <f>G37</f>
        <v>0</v>
      </c>
      <c r="J37" s="11">
        <f>ml_vap(I37)</f>
        <v>0</v>
      </c>
    </row>
    <row r="38" spans="2:10" ht="12.75">
      <c r="B38" s="7">
        <v>95.5</v>
      </c>
      <c r="C38" s="8">
        <v>0.019</v>
      </c>
      <c r="D38" s="8">
        <v>0.17</v>
      </c>
      <c r="E38" s="11">
        <f>C38*$D$8/(C38*$D$8+(1-C38)*$E$8)</f>
        <v>0.047185633809769506</v>
      </c>
      <c r="F38" s="11">
        <f>D38*$D$8/(D38*$D$8+(1-D38)*$E$8)</f>
        <v>0.3437055076166439</v>
      </c>
      <c r="G38" s="11">
        <f>C38*$D$8/$D$6/(C38*$D$8/$D$6+(1-C38)*$E$8/$E$6)</f>
        <v>0.05905910193364739</v>
      </c>
      <c r="H38" s="11">
        <f>D38*$D$8/$D$6/(D38*$D$8/$D$6+(1-D38)*$E$8/$E$6)</f>
        <v>0.3989515794480344</v>
      </c>
      <c r="I38" s="11">
        <f>I37+0.05</f>
        <v>0.05</v>
      </c>
      <c r="J38" s="11">
        <f aca="true" t="shared" si="1" ref="J38:J57">ml_vap(I38)</f>
        <v>0.353474852109375</v>
      </c>
    </row>
    <row r="39" spans="2:10" ht="12.75">
      <c r="B39" s="7">
        <v>89</v>
      </c>
      <c r="C39" s="8">
        <v>0.0721</v>
      </c>
      <c r="D39" s="8">
        <v>0.3891</v>
      </c>
      <c r="E39" s="11">
        <f aca="true" t="shared" si="2" ref="E39:E52">C39*$D$8/(C39*$D$8+(1-C39)*$E$8)</f>
        <v>0.16574798489008438</v>
      </c>
      <c r="F39" s="11">
        <f aca="true" t="shared" si="3" ref="F39:F52">D39*$D$8/(D39*$D$8+(1-D39)*$E$8)</f>
        <v>0.6195658670908938</v>
      </c>
      <c r="G39" s="11">
        <f aca="true" t="shared" si="4" ref="G39:G49">C39*$D$8/$D$6/(C39*$D$8/$D$6+(1-C39)*$E$8/$E$6)</f>
        <v>0.20115710117981206</v>
      </c>
      <c r="H39" s="11">
        <f aca="true" t="shared" si="5" ref="H39:H49">D39*$D$8/$D$6/(D39*$D$8/$D$6+(1-D39)*$E$8/$E$6)</f>
        <v>0.6736400316307442</v>
      </c>
      <c r="I39" s="11">
        <f aca="true" t="shared" si="6" ref="I39:I57">I38+0.05</f>
        <v>0.1</v>
      </c>
      <c r="J39" s="11">
        <f t="shared" si="1"/>
        <v>0.550154735</v>
      </c>
    </row>
    <row r="40" spans="2:10" ht="12.75">
      <c r="B40" s="7">
        <v>86.7</v>
      </c>
      <c r="C40" s="8">
        <v>0.0966</v>
      </c>
      <c r="D40" s="8">
        <v>0.4375</v>
      </c>
      <c r="E40" s="11">
        <f t="shared" si="2"/>
        <v>0.21470679244254698</v>
      </c>
      <c r="F40" s="11">
        <f t="shared" si="3"/>
        <v>0.6654079837286099</v>
      </c>
      <c r="G40" s="11">
        <f t="shared" si="4"/>
        <v>0.2573486588952955</v>
      </c>
      <c r="H40" s="11">
        <f t="shared" si="5"/>
        <v>0.7159535261773514</v>
      </c>
      <c r="I40" s="11">
        <f t="shared" si="6"/>
        <v>0.15000000000000002</v>
      </c>
      <c r="J40" s="11">
        <f t="shared" si="1"/>
        <v>0.6499725377343748</v>
      </c>
    </row>
    <row r="41" spans="2:10" ht="12.75">
      <c r="B41" s="7">
        <v>85.3</v>
      </c>
      <c r="C41" s="8">
        <v>0.1238</v>
      </c>
      <c r="D41" s="8">
        <v>0.4704</v>
      </c>
      <c r="E41" s="11">
        <f t="shared" si="2"/>
        <v>0.2653929538666303</v>
      </c>
      <c r="F41" s="11">
        <f t="shared" si="3"/>
        <v>0.6942924311016261</v>
      </c>
      <c r="G41" s="11">
        <f t="shared" si="4"/>
        <v>0.31407527722867945</v>
      </c>
      <c r="H41" s="11">
        <f t="shared" si="5"/>
        <v>0.7421652808270564</v>
      </c>
      <c r="I41" s="11">
        <f t="shared" si="6"/>
        <v>0.2</v>
      </c>
      <c r="J41" s="11">
        <f t="shared" si="1"/>
        <v>0.6953174399999997</v>
      </c>
    </row>
    <row r="42" spans="2:10" ht="12.75">
      <c r="B42" s="7">
        <v>84.1</v>
      </c>
      <c r="C42" s="8">
        <v>0.1661</v>
      </c>
      <c r="D42" s="8">
        <v>0.5089</v>
      </c>
      <c r="E42" s="11">
        <f t="shared" si="2"/>
        <v>0.33744062400138675</v>
      </c>
      <c r="F42" s="11">
        <f t="shared" si="3"/>
        <v>0.7259969593454134</v>
      </c>
      <c r="G42" s="11">
        <f t="shared" si="4"/>
        <v>0.39228160325152694</v>
      </c>
      <c r="H42" s="11">
        <f t="shared" si="5"/>
        <v>0.7705457878919127</v>
      </c>
      <c r="I42" s="11">
        <f t="shared" si="6"/>
        <v>0.25</v>
      </c>
      <c r="J42" s="11">
        <f t="shared" si="1"/>
        <v>0.7145142089843748</v>
      </c>
    </row>
    <row r="43" spans="2:10" ht="12.75">
      <c r="B43" s="7">
        <v>82.7</v>
      </c>
      <c r="C43" s="8">
        <v>0.2337</v>
      </c>
      <c r="D43" s="8">
        <v>0.5445</v>
      </c>
      <c r="E43" s="11">
        <f t="shared" si="2"/>
        <v>0.4381354656232862</v>
      </c>
      <c r="F43" s="11">
        <f t="shared" si="3"/>
        <v>0.7534829235271224</v>
      </c>
      <c r="G43" s="11">
        <f t="shared" si="4"/>
        <v>0.49706411477546475</v>
      </c>
      <c r="H43" s="11">
        <f t="shared" si="5"/>
        <v>0.7948258733019051</v>
      </c>
      <c r="I43" s="11">
        <f t="shared" si="6"/>
        <v>0.3</v>
      </c>
      <c r="J43" s="11">
        <f t="shared" si="1"/>
        <v>0.7249530149999996</v>
      </c>
    </row>
    <row r="44" spans="2:10" ht="12.75">
      <c r="B44" s="7">
        <v>82.3</v>
      </c>
      <c r="C44" s="8">
        <v>0.2608</v>
      </c>
      <c r="D44" s="8">
        <v>0.558</v>
      </c>
      <c r="E44" s="11">
        <f t="shared" si="2"/>
        <v>0.47426979188883917</v>
      </c>
      <c r="F44" s="11">
        <f t="shared" si="3"/>
        <v>0.7634795999331744</v>
      </c>
      <c r="G44" s="11">
        <f t="shared" si="4"/>
        <v>0.533444270836054</v>
      </c>
      <c r="H44" s="11">
        <f t="shared" si="5"/>
        <v>0.8035830589011811</v>
      </c>
      <c r="I44" s="11">
        <f t="shared" si="6"/>
        <v>0.35</v>
      </c>
      <c r="J44" s="11">
        <f t="shared" si="1"/>
        <v>0.7358697658593738</v>
      </c>
    </row>
    <row r="45" spans="2:10" ht="12.75">
      <c r="B45" s="7">
        <v>81.5</v>
      </c>
      <c r="C45" s="8">
        <v>0.3273</v>
      </c>
      <c r="D45" s="8">
        <v>0.5826</v>
      </c>
      <c r="E45" s="11">
        <f t="shared" si="2"/>
        <v>0.5543792039357385</v>
      </c>
      <c r="F45" s="11">
        <f t="shared" si="3"/>
        <v>0.7811291570199369</v>
      </c>
      <c r="G45" s="11">
        <f t="shared" si="4"/>
        <v>0.6119151284409152</v>
      </c>
      <c r="H45" s="11">
        <f t="shared" si="5"/>
        <v>0.8189496848845006</v>
      </c>
      <c r="I45" s="11">
        <f t="shared" si="6"/>
        <v>0.39999999999999997</v>
      </c>
      <c r="J45" s="11">
        <f t="shared" si="1"/>
        <v>0.7507769600000009</v>
      </c>
    </row>
    <row r="46" spans="2:10" ht="12.75">
      <c r="B46" s="7">
        <v>80.7</v>
      </c>
      <c r="C46" s="8">
        <v>0.3965</v>
      </c>
      <c r="D46" s="8">
        <v>0.6122</v>
      </c>
      <c r="E46" s="11">
        <f t="shared" si="2"/>
        <v>0.6268514195892738</v>
      </c>
      <c r="F46" s="11">
        <f t="shared" si="3"/>
        <v>0.8014484909284049</v>
      </c>
      <c r="G46" s="11">
        <f t="shared" si="4"/>
        <v>0.6804241750539628</v>
      </c>
      <c r="H46" s="11">
        <f t="shared" si="5"/>
        <v>0.836492829712123</v>
      </c>
      <c r="I46" s="11">
        <f t="shared" si="6"/>
        <v>0.44999999999999996</v>
      </c>
      <c r="J46" s="11">
        <f t="shared" si="1"/>
        <v>0.7695450583593733</v>
      </c>
    </row>
    <row r="47" spans="2:10" ht="12.75">
      <c r="B47" s="7">
        <v>79.8</v>
      </c>
      <c r="C47" s="8">
        <v>0.5079</v>
      </c>
      <c r="D47" s="8">
        <v>0.6564</v>
      </c>
      <c r="E47" s="11">
        <f t="shared" si="2"/>
        <v>0.7252003136412818</v>
      </c>
      <c r="F47" s="11">
        <f t="shared" si="3"/>
        <v>0.8300659918481478</v>
      </c>
      <c r="G47" s="11">
        <f t="shared" si="4"/>
        <v>0.7698376024288409</v>
      </c>
      <c r="H47" s="11">
        <f t="shared" si="5"/>
        <v>0.8609357700076331</v>
      </c>
      <c r="I47" s="11">
        <f t="shared" si="6"/>
        <v>0.49999999999999994</v>
      </c>
      <c r="J47" s="11">
        <f t="shared" si="1"/>
        <v>0.7901343749999992</v>
      </c>
    </row>
    <row r="48" spans="2:10" ht="12.75">
      <c r="B48" s="7">
        <v>79.7</v>
      </c>
      <c r="C48" s="8">
        <v>0.5198</v>
      </c>
      <c r="D48" s="8">
        <v>0.6599</v>
      </c>
      <c r="E48" s="11">
        <f t="shared" si="2"/>
        <v>0.73459147796283</v>
      </c>
      <c r="F48" s="11">
        <f t="shared" si="3"/>
        <v>0.8322490755294198</v>
      </c>
      <c r="G48" s="11">
        <f t="shared" si="4"/>
        <v>0.778169926193861</v>
      </c>
      <c r="H48" s="11">
        <f t="shared" si="5"/>
        <v>0.8627878349424007</v>
      </c>
      <c r="I48" s="11">
        <f t="shared" si="6"/>
        <v>0.5499999999999999</v>
      </c>
      <c r="J48" s="11">
        <f t="shared" si="1"/>
        <v>0.8099774864843736</v>
      </c>
    </row>
    <row r="49" spans="2:10" ht="12.75">
      <c r="B49" s="7">
        <v>79.3</v>
      </c>
      <c r="C49" s="8">
        <v>0.5732</v>
      </c>
      <c r="D49" s="8">
        <v>0.6841</v>
      </c>
      <c r="E49" s="11">
        <f t="shared" si="2"/>
        <v>0.7744693541371519</v>
      </c>
      <c r="F49" s="11">
        <f t="shared" si="3"/>
        <v>0.8470283118191239</v>
      </c>
      <c r="G49" s="11">
        <f t="shared" si="4"/>
        <v>0.8131654300338442</v>
      </c>
      <c r="H49" s="11">
        <f t="shared" si="5"/>
        <v>0.8752797388889683</v>
      </c>
      <c r="I49" s="11">
        <f t="shared" si="6"/>
        <v>0.6</v>
      </c>
      <c r="J49" s="11">
        <f t="shared" si="1"/>
        <v>0.8270121599999989</v>
      </c>
    </row>
    <row r="50" spans="2:10" ht="12.75">
      <c r="B50" s="7">
        <v>78.74</v>
      </c>
      <c r="C50" s="8">
        <v>0.6763</v>
      </c>
      <c r="D50" s="8">
        <v>0.7385</v>
      </c>
      <c r="E50" s="11">
        <f t="shared" si="2"/>
        <v>0.8423240029806828</v>
      </c>
      <c r="F50" s="11">
        <f t="shared" si="3"/>
        <v>0.8783598943666611</v>
      </c>
      <c r="G50" s="11">
        <f aca="true" t="shared" si="7" ref="G50:H52">C50*$D$8/$D$6/(C50*$D$8/$D$6+(1-C50)*$E$8/$E$6)</f>
        <v>0.8713122436202837</v>
      </c>
      <c r="H50" s="11">
        <f t="shared" si="7"/>
        <v>0.9014977928715693</v>
      </c>
      <c r="I50" s="11">
        <f t="shared" si="6"/>
        <v>0.65</v>
      </c>
      <c r="J50" s="11">
        <f t="shared" si="1"/>
        <v>0.8403648002343678</v>
      </c>
    </row>
    <row r="51" spans="2:10" ht="12.75">
      <c r="B51" s="7">
        <v>78.24</v>
      </c>
      <c r="C51" s="8">
        <v>0.7472</v>
      </c>
      <c r="D51" s="8">
        <v>0.7815</v>
      </c>
      <c r="E51" s="11">
        <f t="shared" si="2"/>
        <v>0.8831430946077228</v>
      </c>
      <c r="F51" s="11">
        <f t="shared" si="3"/>
        <v>0.9014314716044775</v>
      </c>
      <c r="G51" s="11">
        <f t="shared" si="7"/>
        <v>0.9054690707642257</v>
      </c>
      <c r="H51" s="11">
        <f t="shared" si="7"/>
        <v>0.920577607391752</v>
      </c>
      <c r="I51" s="11">
        <f t="shared" si="6"/>
        <v>0.7000000000000001</v>
      </c>
      <c r="J51" s="11">
        <f t="shared" si="1"/>
        <v>0.8506844149999981</v>
      </c>
    </row>
    <row r="52" spans="2:10" ht="12.75">
      <c r="B52" s="7">
        <v>78.15</v>
      </c>
      <c r="C52" s="8">
        <v>0.8943</v>
      </c>
      <c r="D52" s="8">
        <v>0.8943</v>
      </c>
      <c r="E52" s="11">
        <f t="shared" si="2"/>
        <v>0.9558175442043431</v>
      </c>
      <c r="F52" s="11">
        <f t="shared" si="3"/>
        <v>0.9558175442043431</v>
      </c>
      <c r="G52" s="11">
        <f t="shared" si="7"/>
        <v>0.9648120023332711</v>
      </c>
      <c r="H52" s="11">
        <f t="shared" si="7"/>
        <v>0.9648120023332711</v>
      </c>
      <c r="I52" s="11">
        <f t="shared" si="6"/>
        <v>0.7500000000000001</v>
      </c>
      <c r="J52" s="11">
        <f t="shared" si="1"/>
        <v>0.860127099609377</v>
      </c>
    </row>
    <row r="53" spans="7:10" ht="12.75">
      <c r="G53" s="19"/>
      <c r="H53" s="19"/>
      <c r="I53" s="11">
        <f t="shared" si="6"/>
        <v>0.8000000000000002</v>
      </c>
      <c r="J53" s="11">
        <f t="shared" si="1"/>
        <v>0.871991040000009</v>
      </c>
    </row>
    <row r="54" spans="7:10" ht="12.75">
      <c r="G54" s="19"/>
      <c r="H54" s="19"/>
      <c r="I54" s="11">
        <f t="shared" si="6"/>
        <v>0.8500000000000002</v>
      </c>
      <c r="J54" s="11">
        <f t="shared" si="1"/>
        <v>0.8900020346093882</v>
      </c>
    </row>
    <row r="55" spans="7:10" ht="12.75">
      <c r="G55" s="19"/>
      <c r="H55" s="19"/>
      <c r="I55" s="11">
        <f t="shared" si="6"/>
        <v>0.9000000000000002</v>
      </c>
      <c r="J55" s="11">
        <f t="shared" si="1"/>
        <v>0.917249535000014</v>
      </c>
    </row>
    <row r="56" spans="7:10" ht="12.75">
      <c r="G56" s="19"/>
      <c r="H56" s="19"/>
      <c r="I56" s="11">
        <f t="shared" si="6"/>
        <v>0.9500000000000003</v>
      </c>
      <c r="J56" s="25">
        <f t="shared" si="1"/>
        <v>0.9547732052343871</v>
      </c>
    </row>
    <row r="57" spans="3:10" ht="12.75">
      <c r="C57" s="3">
        <v>0</v>
      </c>
      <c r="D57" s="3">
        <v>0</v>
      </c>
      <c r="G57" s="19"/>
      <c r="H57" s="26"/>
      <c r="I57" s="11">
        <f t="shared" si="6"/>
        <v>1.0000000000000002</v>
      </c>
      <c r="J57" s="25">
        <f t="shared" si="1"/>
        <v>0.9998000000000147</v>
      </c>
    </row>
    <row r="58" spans="3:10" ht="12.75">
      <c r="C58" s="3">
        <v>1</v>
      </c>
      <c r="D58" s="3">
        <v>1</v>
      </c>
      <c r="G58" s="19"/>
      <c r="H58" s="26"/>
      <c r="I58" s="11"/>
      <c r="J58" s="25"/>
    </row>
    <row r="59" spans="7:10" ht="12.75">
      <c r="G59" s="19"/>
      <c r="H59" s="26"/>
      <c r="I59" s="15"/>
      <c r="J59" s="15"/>
    </row>
    <row r="60" spans="7:10" ht="12.75">
      <c r="G60" s="19"/>
      <c r="H60" s="26"/>
      <c r="I60" s="15"/>
      <c r="J60" s="15"/>
    </row>
    <row r="61" spans="7:10" ht="12.75">
      <c r="G61" s="19"/>
      <c r="H61" s="26"/>
      <c r="I61" s="15"/>
      <c r="J61" s="15"/>
    </row>
    <row r="62" spans="7:10" ht="12.75">
      <c r="G62" s="19"/>
      <c r="H62" s="26"/>
      <c r="I62" s="15"/>
      <c r="J62" s="15"/>
    </row>
    <row r="63" spans="7:10" ht="12.75">
      <c r="G63" s="19"/>
      <c r="H63" s="26"/>
      <c r="I63" s="15"/>
      <c r="J63" s="15"/>
    </row>
    <row r="64" spans="7:10" ht="12.75">
      <c r="G64" s="19"/>
      <c r="H64" s="26"/>
      <c r="I64" s="15"/>
      <c r="J64" s="15"/>
    </row>
    <row r="65" spans="7:10" ht="12.75">
      <c r="G65" s="19"/>
      <c r="H65" s="26"/>
      <c r="I65" s="15"/>
      <c r="J65" s="15"/>
    </row>
    <row r="66" spans="7:10" ht="12.75">
      <c r="G66" s="19"/>
      <c r="H66" s="26"/>
      <c r="I66" s="15"/>
      <c r="J66" s="15"/>
    </row>
    <row r="67" spans="7:10" ht="12.75">
      <c r="G67" s="19"/>
      <c r="H67" s="26"/>
      <c r="I67" s="15"/>
      <c r="J67" s="15"/>
    </row>
    <row r="68" spans="7:10" ht="12.75">
      <c r="G68" s="19"/>
      <c r="H68" s="26"/>
      <c r="I68" s="15"/>
      <c r="J68" s="15"/>
    </row>
    <row r="69" spans="7:10" ht="12.75">
      <c r="G69" s="19"/>
      <c r="H69" s="26"/>
      <c r="I69" s="15"/>
      <c r="J69" s="15"/>
    </row>
    <row r="70" spans="7:10" ht="12.75">
      <c r="G70" s="19"/>
      <c r="H70" s="26"/>
      <c r="I70" s="15"/>
      <c r="J70" s="15"/>
    </row>
    <row r="76" spans="8:9" ht="12.75">
      <c r="H76" s="1">
        <v>0</v>
      </c>
      <c r="I76" s="1">
        <v>0</v>
      </c>
    </row>
    <row r="77" spans="8:9" ht="12.75">
      <c r="H77" s="1">
        <v>1</v>
      </c>
      <c r="I77" s="1">
        <v>1</v>
      </c>
    </row>
  </sheetData>
  <mergeCells count="5">
    <mergeCell ref="C35:D35"/>
    <mergeCell ref="E35:F35"/>
    <mergeCell ref="G35:H35"/>
    <mergeCell ref="D15:E15"/>
    <mergeCell ref="D16:E16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B6" sqref="B6"/>
    </sheetView>
  </sheetViews>
  <sheetFormatPr defaultColWidth="9.140625" defaultRowHeight="12.75"/>
  <cols>
    <col min="1" max="1" width="17.140625" style="1" customWidth="1"/>
    <col min="2" max="2" width="11.00390625" style="1" bestFit="1" customWidth="1"/>
    <col min="3" max="4" width="9.140625" style="1" customWidth="1"/>
    <col min="5" max="9" width="6.00390625" style="1" customWidth="1"/>
    <col min="10" max="11" width="9.140625" style="1" customWidth="1"/>
    <col min="12" max="12" width="3.140625" style="1" customWidth="1"/>
    <col min="13" max="13" width="6.57421875" style="1" customWidth="1"/>
    <col min="14" max="14" width="6.421875" style="1" customWidth="1"/>
    <col min="15" max="15" width="7.28125" style="1" customWidth="1"/>
    <col min="16" max="16" width="7.140625" style="1" customWidth="1"/>
    <col min="17" max="18" width="6.7109375" style="3" customWidth="1"/>
    <col min="19" max="19" width="11.57421875" style="3" customWidth="1"/>
    <col min="20" max="20" width="9.7109375" style="3" customWidth="1"/>
    <col min="21" max="21" width="9.140625" style="3" customWidth="1"/>
    <col min="22" max="23" width="6.7109375" style="3" customWidth="1"/>
    <col min="24" max="24" width="3.57421875" style="1" customWidth="1"/>
    <col min="25" max="25" width="4.8515625" style="21" customWidth="1"/>
    <col min="26" max="16384" width="9.140625" style="1" customWidth="1"/>
  </cols>
  <sheetData>
    <row r="1" ht="15.75">
      <c r="A1" s="27" t="s">
        <v>59</v>
      </c>
    </row>
    <row r="2" spans="5:25" s="32" customFormat="1" ht="38.25" customHeight="1">
      <c r="E2" s="39" t="s">
        <v>79</v>
      </c>
      <c r="F2" s="39"/>
      <c r="G2" s="39"/>
      <c r="H2" s="39"/>
      <c r="I2" s="39" t="s">
        <v>36</v>
      </c>
      <c r="J2" s="39"/>
      <c r="K2" s="39"/>
      <c r="L2" s="33"/>
      <c r="M2" s="39" t="s">
        <v>70</v>
      </c>
      <c r="N2" s="39"/>
      <c r="O2" s="39"/>
      <c r="P2" s="39"/>
      <c r="Q2" s="39"/>
      <c r="R2" s="39"/>
      <c r="S2" s="33" t="s">
        <v>71</v>
      </c>
      <c r="T2" s="33" t="s">
        <v>72</v>
      </c>
      <c r="U2" s="39" t="s">
        <v>75</v>
      </c>
      <c r="V2" s="39"/>
      <c r="W2" s="39" t="s">
        <v>76</v>
      </c>
      <c r="X2" s="39"/>
      <c r="Y2" s="39"/>
    </row>
    <row r="3" spans="4:25" ht="12.75">
      <c r="D3" s="3" t="s">
        <v>34</v>
      </c>
      <c r="E3" s="3" t="s">
        <v>68</v>
      </c>
      <c r="F3" s="3" t="s">
        <v>67</v>
      </c>
      <c r="G3" s="3" t="s">
        <v>81</v>
      </c>
      <c r="H3" s="3" t="s">
        <v>83</v>
      </c>
      <c r="I3" s="3" t="s">
        <v>82</v>
      </c>
      <c r="J3" s="1" t="s">
        <v>80</v>
      </c>
      <c r="K3" s="1" t="s">
        <v>84</v>
      </c>
      <c r="L3" s="3"/>
      <c r="M3" s="3" t="s">
        <v>68</v>
      </c>
      <c r="N3" s="3" t="s">
        <v>67</v>
      </c>
      <c r="O3" s="3" t="s">
        <v>77</v>
      </c>
      <c r="P3" s="3" t="s">
        <v>21</v>
      </c>
      <c r="Q3" s="3" t="s">
        <v>64</v>
      </c>
      <c r="R3" s="3" t="s">
        <v>69</v>
      </c>
      <c r="U3" s="3" t="s">
        <v>73</v>
      </c>
      <c r="V3" s="3" t="s">
        <v>74</v>
      </c>
      <c r="W3" s="3" t="s">
        <v>77</v>
      </c>
      <c r="X3" s="1" t="s">
        <v>66</v>
      </c>
      <c r="Y3" s="21" t="s">
        <v>67</v>
      </c>
    </row>
    <row r="4" spans="1:25" ht="12.75">
      <c r="A4" s="1" t="s">
        <v>60</v>
      </c>
      <c r="B4" s="28">
        <v>1</v>
      </c>
      <c r="C4" s="1" t="s">
        <v>33</v>
      </c>
      <c r="D4" s="3">
        <v>0</v>
      </c>
      <c r="E4" s="30">
        <f>(1-G4)*B11</f>
        <v>8500</v>
      </c>
      <c r="F4" s="30">
        <f>G4*B11</f>
        <v>1500</v>
      </c>
      <c r="G4" s="34">
        <f>B12</f>
        <v>0.15</v>
      </c>
      <c r="H4" s="30">
        <f>$B$10*60*$B$4/(G4*Constants!$D$10*Constants!$D$6+(1-G4)*Constants!$E$6*Constants!$E$10)</f>
        <v>31.472357105966466</v>
      </c>
      <c r="I4" s="24">
        <f>ml_vap(G4)</f>
        <v>0.6499725377343748</v>
      </c>
      <c r="J4" s="5">
        <f>I4*H4</f>
        <v>20.456167816647508</v>
      </c>
      <c r="K4" s="5">
        <f>H4-J4</f>
        <v>11.016189289318959</v>
      </c>
      <c r="L4" s="3"/>
      <c r="M4" s="3">
        <f>B6*(1-B7)</f>
        <v>1800</v>
      </c>
      <c r="N4" s="3">
        <f>B6*B7</f>
        <v>1200</v>
      </c>
      <c r="O4" s="30">
        <f aca="true" t="shared" si="0" ref="O4:O35">SUM(L4:N4)</f>
        <v>3000</v>
      </c>
      <c r="P4" s="31">
        <f>(N4)/O4</f>
        <v>0.4</v>
      </c>
      <c r="Q4" s="5">
        <f>ml_boil_t(P4)</f>
        <v>83.96562560000001</v>
      </c>
      <c r="R4" s="24">
        <f>ml_vap(P4)</f>
        <v>0.7507769599999996</v>
      </c>
      <c r="S4" s="5">
        <f>($B$10*$B$4*60)/(P4*O4*Constants!$D$9/Constants!$D$6+(1-P4)*O4*Constants!$E$9/Constants!$E$6)</f>
        <v>5.059713598406748</v>
      </c>
      <c r="T4" s="5">
        <f>B8+(U4*S4)</f>
        <v>20.05971359840675</v>
      </c>
      <c r="U4" s="24">
        <f>IF(S4+T4&lt;Q4,1,(Q4-(S4+T4))/S4)</f>
        <v>1</v>
      </c>
      <c r="V4" s="3">
        <f>(1-U4)*$B$10*$B$4*60</f>
        <v>0</v>
      </c>
      <c r="W4" s="30">
        <f>V4/(R4*Constants!$D$10*Constants!$D$6+Constants!$E$6*Constants!$E$10*(1-R4))</f>
        <v>0</v>
      </c>
      <c r="X4" s="21">
        <f aca="true" t="shared" si="1" ref="X4:X10">W4-Y4</f>
        <v>0</v>
      </c>
      <c r="Y4" s="21">
        <f aca="true" t="shared" si="2" ref="Y4:Y35">W4*R4</f>
        <v>0</v>
      </c>
    </row>
    <row r="5" spans="4:25" ht="12.75">
      <c r="D5" s="3">
        <f>D4+$B$4</f>
        <v>1</v>
      </c>
      <c r="E5" s="30">
        <f>E4-K4</f>
        <v>8488.98381071068</v>
      </c>
      <c r="F5" s="30">
        <f>F4-J4</f>
        <v>1479.5438321833526</v>
      </c>
      <c r="G5" s="31">
        <f>F5/(F5+E5)</f>
        <v>0.1484215006654499</v>
      </c>
      <c r="H5" s="30">
        <f>$B$10*60*$B$4/(G5*Constants!$D$10*Constants!$D$6+(1-G5)*Constants!$E$6*Constants!$E$10)</f>
        <v>31.43237271497214</v>
      </c>
      <c r="I5" s="24">
        <f aca="true" t="shared" si="3" ref="I5:I58">ml_vap(G5)</f>
        <v>0.647836959310847</v>
      </c>
      <c r="J5" s="5">
        <f aca="true" t="shared" si="4" ref="J5:J58">I5*H5</f>
        <v>20.363052763592783</v>
      </c>
      <c r="K5" s="5">
        <f aca="true" t="shared" si="5" ref="K5:K58">H5-J5</f>
        <v>11.069319951379356</v>
      </c>
      <c r="L5" s="30"/>
      <c r="M5" s="30">
        <f aca="true" t="shared" si="6" ref="M5:M36">M4+K4-X4</f>
        <v>1811.0161892893188</v>
      </c>
      <c r="N5" s="30">
        <f aca="true" t="shared" si="7" ref="N5:N36">N4+J4-Y4</f>
        <v>1220.4561678166474</v>
      </c>
      <c r="O5" s="30">
        <f t="shared" si="0"/>
        <v>3031.4723571059662</v>
      </c>
      <c r="P5" s="31">
        <f aca="true" t="shared" si="8" ref="P5:P58">(N5)/O5</f>
        <v>0.402595182817953</v>
      </c>
      <c r="Q5" s="5">
        <f aca="true" t="shared" si="9" ref="Q5:Q58">ml_boil_t(P5)</f>
        <v>83.92663451850399</v>
      </c>
      <c r="R5" s="24">
        <f aca="true" t="shared" si="10" ref="R5:R20">ml_vap(P5)</f>
        <v>0.7516683469197605</v>
      </c>
      <c r="S5" s="5">
        <f>($B$10*$B$4*60)/(P5*O5*Constants!$D$9/Constants!$D$6+(1-P5)*O5*Constants!$E$9/Constants!$E$6)</f>
        <v>5.009085219390543</v>
      </c>
      <c r="T5" s="5">
        <f>T4+(U5*S5)</f>
        <v>25.06879881779729</v>
      </c>
      <c r="U5" s="24">
        <f>IF(S5+T4&lt;Q5,1,MAX(0,(Q5-T4)/S5))</f>
        <v>1</v>
      </c>
      <c r="V5" s="3">
        <f aca="true" t="shared" si="11" ref="V5:V58">(1-U5)*$B$10*$B$4*60</f>
        <v>0</v>
      </c>
      <c r="W5" s="30">
        <f>V5/(R5*Constants!$D$10*Constants!$D$6+Constants!$E$6*Constants!$E$10*(1-R5))</f>
        <v>0</v>
      </c>
      <c r="X5" s="21">
        <f t="shared" si="1"/>
        <v>0</v>
      </c>
      <c r="Y5" s="21">
        <f t="shared" si="2"/>
        <v>0</v>
      </c>
    </row>
    <row r="6" spans="1:25" ht="12.75">
      <c r="A6" s="1" t="s">
        <v>61</v>
      </c>
      <c r="B6" s="28">
        <v>3000</v>
      </c>
      <c r="C6" s="1" t="s">
        <v>63</v>
      </c>
      <c r="D6" s="3">
        <f aca="true" t="shared" si="12" ref="D6:D20">D5+$B$4</f>
        <v>2</v>
      </c>
      <c r="E6" s="30">
        <f aca="true" t="shared" si="13" ref="E6:E32">E5-K5</f>
        <v>8477.914490759302</v>
      </c>
      <c r="F6" s="30">
        <f aca="true" t="shared" si="14" ref="F6:F32">F5-J5</f>
        <v>1459.1807794197598</v>
      </c>
      <c r="G6" s="31">
        <f aca="true" t="shared" si="15" ref="G6:G32">F6/(F6+E6)</f>
        <v>0.14684178220558272</v>
      </c>
      <c r="H6" s="30">
        <f>$B$10*60*$B$4/(G6*Constants!$D$10*Constants!$D$6+(1-G6)*Constants!$E$6*Constants!$E$10)</f>
        <v>31.392459028519088</v>
      </c>
      <c r="I6" s="24">
        <f t="shared" si="3"/>
        <v>0.6456454468249094</v>
      </c>
      <c r="J6" s="5">
        <f t="shared" si="4"/>
        <v>20.26839823640087</v>
      </c>
      <c r="K6" s="5">
        <f t="shared" si="5"/>
        <v>11.124060792118218</v>
      </c>
      <c r="L6" s="30"/>
      <c r="M6" s="30">
        <f t="shared" si="6"/>
        <v>1822.0855092406982</v>
      </c>
      <c r="N6" s="30">
        <f t="shared" si="7"/>
        <v>1240.8192205802402</v>
      </c>
      <c r="O6" s="30">
        <f t="shared" si="0"/>
        <v>3062.9047298209384</v>
      </c>
      <c r="P6" s="31">
        <f t="shared" si="8"/>
        <v>0.40511192153625364</v>
      </c>
      <c r="Q6" s="5">
        <f t="shared" si="9"/>
        <v>83.88915348455802</v>
      </c>
      <c r="R6" s="24">
        <f t="shared" si="10"/>
        <v>0.7525429219846353</v>
      </c>
      <c r="S6" s="5">
        <f>($B$10*$B$4*60)/(P6*O6*Constants!$D$9/Constants!$D$6+(1-P6)*O6*Constants!$E$9/Constants!$E$6)</f>
        <v>4.9595065125288595</v>
      </c>
      <c r="T6" s="5">
        <f>IF(U6&gt;0.01,T5+(U6*S6),Q6)</f>
        <v>30.02830533032615</v>
      </c>
      <c r="U6" s="24">
        <f aca="true" t="shared" si="16" ref="U6:U20">IF(S6+T5&lt;Q6,1,MAX(0,(Q6-T5)/S6))</f>
        <v>1</v>
      </c>
      <c r="V6" s="3">
        <f t="shared" si="11"/>
        <v>0</v>
      </c>
      <c r="W6" s="30">
        <f>V6/(R6*Constants!$D$10*Constants!$D$6+Constants!$E$6*Constants!$E$10*(1-R6))</f>
        <v>0</v>
      </c>
      <c r="X6" s="21">
        <f t="shared" si="1"/>
        <v>0</v>
      </c>
      <c r="Y6" s="21">
        <f t="shared" si="2"/>
        <v>0</v>
      </c>
    </row>
    <row r="7" spans="1:25" ht="12.75">
      <c r="A7" s="1" t="s">
        <v>62</v>
      </c>
      <c r="B7" s="29">
        <v>0.4</v>
      </c>
      <c r="D7" s="3">
        <f t="shared" si="12"/>
        <v>3</v>
      </c>
      <c r="E7" s="30">
        <f t="shared" si="13"/>
        <v>8466.790429967183</v>
      </c>
      <c r="F7" s="30">
        <f t="shared" si="14"/>
        <v>1438.912381183359</v>
      </c>
      <c r="G7" s="31">
        <f t="shared" si="15"/>
        <v>0.14526100859432406</v>
      </c>
      <c r="H7" s="30">
        <f>$B$10*60*$B$4/(G7*Constants!$D$10*Constants!$D$6+(1-G7)*Constants!$E$6*Constants!$E$10)</f>
        <v>31.352620022057554</v>
      </c>
      <c r="I7" s="24">
        <f t="shared" si="3"/>
        <v>0.6433969993319054</v>
      </c>
      <c r="J7" s="5">
        <f t="shared" si="4"/>
        <v>20.172181643385247</v>
      </c>
      <c r="K7" s="5">
        <f t="shared" si="5"/>
        <v>11.180438378672306</v>
      </c>
      <c r="L7" s="30"/>
      <c r="M7" s="30">
        <f t="shared" si="6"/>
        <v>1833.2095700328164</v>
      </c>
      <c r="N7" s="30">
        <f t="shared" si="7"/>
        <v>1261.087618816641</v>
      </c>
      <c r="O7" s="30">
        <f t="shared" si="0"/>
        <v>3094.2971888494576</v>
      </c>
      <c r="P7" s="31">
        <f t="shared" si="8"/>
        <v>0.407552197429862</v>
      </c>
      <c r="Q7" s="5">
        <f t="shared" si="9"/>
        <v>83.85311687576137</v>
      </c>
      <c r="R7" s="24">
        <f t="shared" si="10"/>
        <v>0.7534002562334452</v>
      </c>
      <c r="S7" s="5">
        <f>($B$10*$B$4*60)/(P7*O7*Constants!$D$9/Constants!$D$6+(1-P7)*O7*Constants!$E$9/Constants!$E$6)</f>
        <v>4.9109447568148</v>
      </c>
      <c r="T7" s="5">
        <f aca="true" t="shared" si="17" ref="T7:T58">IF(U7&gt;0.01,T6+(U7*S7),Q7)</f>
        <v>34.93925008714095</v>
      </c>
      <c r="U7" s="24">
        <f t="shared" si="16"/>
        <v>1</v>
      </c>
      <c r="V7" s="3">
        <f t="shared" si="11"/>
        <v>0</v>
      </c>
      <c r="W7" s="30">
        <f>V7/(R7*Constants!$D$10*Constants!$D$6+Constants!$E$6*Constants!$E$10*(1-R7))</f>
        <v>0</v>
      </c>
      <c r="X7" s="21">
        <f t="shared" si="1"/>
        <v>0</v>
      </c>
      <c r="Y7" s="21">
        <f t="shared" si="2"/>
        <v>0</v>
      </c>
    </row>
    <row r="8" spans="1:25" ht="12.75">
      <c r="A8" s="1" t="s">
        <v>65</v>
      </c>
      <c r="B8" s="28">
        <v>15</v>
      </c>
      <c r="C8" s="1" t="s">
        <v>18</v>
      </c>
      <c r="D8" s="3">
        <f t="shared" si="12"/>
        <v>4</v>
      </c>
      <c r="E8" s="30">
        <f t="shared" si="13"/>
        <v>8455.60999158851</v>
      </c>
      <c r="F8" s="30">
        <f t="shared" si="14"/>
        <v>1418.7401995399737</v>
      </c>
      <c r="G8" s="31">
        <f t="shared" si="15"/>
        <v>0.14367934821823794</v>
      </c>
      <c r="H8" s="30">
        <f>$B$10*60*$B$4/(G8*Constants!$D$10*Constants!$D$6+(1-G8)*Constants!$E$6*Constants!$E$10)</f>
        <v>31.312859740326658</v>
      </c>
      <c r="I8" s="24">
        <f t="shared" si="3"/>
        <v>0.6410906266833247</v>
      </c>
      <c r="J8" s="5">
        <f t="shared" si="4"/>
        <v>20.074380874173066</v>
      </c>
      <c r="K8" s="5">
        <f t="shared" si="5"/>
        <v>11.238478866153592</v>
      </c>
      <c r="L8" s="30"/>
      <c r="M8" s="30">
        <f t="shared" si="6"/>
        <v>1844.3900084114887</v>
      </c>
      <c r="N8" s="30">
        <f t="shared" si="7"/>
        <v>1281.2598004600263</v>
      </c>
      <c r="O8" s="30">
        <f t="shared" si="0"/>
        <v>3125.6498088715152</v>
      </c>
      <c r="P8" s="31">
        <f t="shared" si="8"/>
        <v>0.40991789829539876</v>
      </c>
      <c r="Q8" s="5">
        <f t="shared" si="9"/>
        <v>83.8184634700585</v>
      </c>
      <c r="R8" s="24">
        <f t="shared" si="10"/>
        <v>0.7542399717270936</v>
      </c>
      <c r="S8" s="5">
        <f>($B$10*$B$4*60)/(P8*O8*Constants!$D$9/Constants!$D$6+(1-P8)*O8*Constants!$E$9/Constants!$E$6)</f>
        <v>4.8633685636925446</v>
      </c>
      <c r="T8" s="5">
        <f t="shared" si="17"/>
        <v>39.802618650833494</v>
      </c>
      <c r="U8" s="24">
        <f t="shared" si="16"/>
        <v>1</v>
      </c>
      <c r="V8" s="3">
        <f t="shared" si="11"/>
        <v>0</v>
      </c>
      <c r="W8" s="30">
        <f>V8/(R8*Constants!$D$10*Constants!$D$6+Constants!$E$6*Constants!$E$10*(1-R8))</f>
        <v>0</v>
      </c>
      <c r="X8" s="21">
        <f t="shared" si="1"/>
        <v>0</v>
      </c>
      <c r="Y8" s="21">
        <f t="shared" si="2"/>
        <v>0</v>
      </c>
    </row>
    <row r="9" spans="4:25" ht="12.75">
      <c r="D9" s="3">
        <f t="shared" si="12"/>
        <v>5</v>
      </c>
      <c r="E9" s="30">
        <f t="shared" si="13"/>
        <v>8444.371512722357</v>
      </c>
      <c r="F9" s="30">
        <f t="shared" si="14"/>
        <v>1398.6658186658005</v>
      </c>
      <c r="G9" s="31">
        <f t="shared" si="15"/>
        <v>0.14209697388890707</v>
      </c>
      <c r="H9" s="30">
        <f>$B$10*60*$B$4/(G9*Constants!$D$10*Constants!$D$6+(1-G9)*Constants!$E$6*Constants!$E$10)</f>
        <v>31.27318229659407</v>
      </c>
      <c r="I9" s="24">
        <f t="shared" si="3"/>
        <v>0.6387253513653707</v>
      </c>
      <c r="J9" s="5">
        <f t="shared" si="4"/>
        <v>19.974974350705338</v>
      </c>
      <c r="K9" s="5">
        <f t="shared" si="5"/>
        <v>11.29820794588873</v>
      </c>
      <c r="L9" s="30"/>
      <c r="M9" s="30">
        <f t="shared" si="6"/>
        <v>1855.6284872776423</v>
      </c>
      <c r="N9" s="30">
        <f t="shared" si="7"/>
        <v>1301.3341813341995</v>
      </c>
      <c r="O9" s="30">
        <f t="shared" si="0"/>
        <v>3156.9626686118418</v>
      </c>
      <c r="P9" s="31">
        <f t="shared" si="8"/>
        <v>0.4122108234831973</v>
      </c>
      <c r="Q9" s="5">
        <f t="shared" si="9"/>
        <v>83.78513610327104</v>
      </c>
      <c r="R9" s="24">
        <f t="shared" si="10"/>
        <v>0.755061738434188</v>
      </c>
      <c r="S9" s="5">
        <f>($B$10*$B$4*60)/(P9*O9*Constants!$D$9/Constants!$D$6+(1-P9)*O9*Constants!$E$9/Constants!$E$6)</f>
        <v>4.816747809857046</v>
      </c>
      <c r="T9" s="5">
        <f t="shared" si="17"/>
        <v>44.61936646069054</v>
      </c>
      <c r="U9" s="24">
        <f t="shared" si="16"/>
        <v>1</v>
      </c>
      <c r="V9" s="3">
        <f t="shared" si="11"/>
        <v>0</v>
      </c>
      <c r="W9" s="30">
        <f>V9/(R9*Constants!$D$10*Constants!$D$6+Constants!$E$6*Constants!$E$10*(1-R9))</f>
        <v>0</v>
      </c>
      <c r="X9" s="21">
        <f t="shared" si="1"/>
        <v>0</v>
      </c>
      <c r="Y9" s="21">
        <f t="shared" si="2"/>
        <v>0</v>
      </c>
    </row>
    <row r="10" spans="1:25" ht="12.75">
      <c r="A10" s="1" t="s">
        <v>78</v>
      </c>
      <c r="B10" s="28">
        <v>1000</v>
      </c>
      <c r="C10" s="1" t="s">
        <v>19</v>
      </c>
      <c r="D10" s="3">
        <f t="shared" si="12"/>
        <v>6</v>
      </c>
      <c r="E10" s="30">
        <f t="shared" si="13"/>
        <v>8433.073304776468</v>
      </c>
      <c r="F10" s="30">
        <f t="shared" si="14"/>
        <v>1378.690844315095</v>
      </c>
      <c r="G10" s="31">
        <f t="shared" si="15"/>
        <v>0.14051406285002715</v>
      </c>
      <c r="H10" s="30">
        <f>$B$10*60*$B$4/(G10*Constants!$D$10*Constants!$D$6+(1-G10)*Constants!$E$6*Constants!$E$10)</f>
        <v>31.23359187178171</v>
      </c>
      <c r="I10" s="24">
        <f t="shared" si="3"/>
        <v>0.6363002104079111</v>
      </c>
      <c r="J10" s="5">
        <f t="shared" si="4"/>
        <v>19.873941079809523</v>
      </c>
      <c r="K10" s="5">
        <f t="shared" si="5"/>
        <v>11.359650791972186</v>
      </c>
      <c r="L10" s="30"/>
      <c r="M10" s="30">
        <f t="shared" si="6"/>
        <v>1866.926695223531</v>
      </c>
      <c r="N10" s="30">
        <f t="shared" si="7"/>
        <v>1321.309155684905</v>
      </c>
      <c r="O10" s="30">
        <f t="shared" si="0"/>
        <v>3188.235850908436</v>
      </c>
      <c r="P10" s="31">
        <f t="shared" si="8"/>
        <v>0.41443268863199667</v>
      </c>
      <c r="Q10" s="5">
        <f t="shared" si="9"/>
        <v>83.75308135703241</v>
      </c>
      <c r="R10" s="24">
        <f t="shared" si="10"/>
        <v>0.7558652710912619</v>
      </c>
      <c r="S10" s="5">
        <f>($B$10*$B$4*60)/(P10*O10*Constants!$D$9/Constants!$D$6+(1-P10)*O10*Constants!$E$9/Constants!$E$6)</f>
        <v>4.771053574093046</v>
      </c>
      <c r="T10" s="5">
        <f t="shared" si="17"/>
        <v>49.39042003478359</v>
      </c>
      <c r="U10" s="24">
        <f t="shared" si="16"/>
        <v>1</v>
      </c>
      <c r="V10" s="3">
        <f t="shared" si="11"/>
        <v>0</v>
      </c>
      <c r="W10" s="30">
        <f>V10/(R10*Constants!$D$10*Constants!$D$6+Constants!$E$6*Constants!$E$10*(1-R10))</f>
        <v>0</v>
      </c>
      <c r="X10" s="21">
        <f t="shared" si="1"/>
        <v>0</v>
      </c>
      <c r="Y10" s="21">
        <f t="shared" si="2"/>
        <v>0</v>
      </c>
    </row>
    <row r="11" spans="1:25" ht="12.75">
      <c r="A11" s="1" t="s">
        <v>85</v>
      </c>
      <c r="B11" s="28">
        <v>10000</v>
      </c>
      <c r="C11" s="1" t="s">
        <v>35</v>
      </c>
      <c r="D11" s="3">
        <f t="shared" si="12"/>
        <v>7</v>
      </c>
      <c r="E11" s="30">
        <f t="shared" si="13"/>
        <v>8421.713653984496</v>
      </c>
      <c r="F11" s="30">
        <f t="shared" si="14"/>
        <v>1358.8169032352855</v>
      </c>
      <c r="G11" s="31">
        <f t="shared" si="15"/>
        <v>0.13893079677893708</v>
      </c>
      <c r="H11" s="30">
        <f>$B$10*60*$B$4/(G11*Constants!$D$10*Constants!$D$6+(1-G11)*Constants!$E$6*Constants!$E$10)</f>
        <v>31.194092713473466</v>
      </c>
      <c r="I11" s="24">
        <f t="shared" si="3"/>
        <v>0.6338142573627286</v>
      </c>
      <c r="J11" s="5">
        <f t="shared" si="4"/>
        <v>19.77126070729429</v>
      </c>
      <c r="K11" s="5">
        <f t="shared" si="5"/>
        <v>11.422832006179178</v>
      </c>
      <c r="L11" s="30"/>
      <c r="M11" s="30">
        <f t="shared" si="6"/>
        <v>1878.286346015503</v>
      </c>
      <c r="N11" s="30">
        <f t="shared" si="7"/>
        <v>1341.1830967647145</v>
      </c>
      <c r="O11" s="30">
        <f t="shared" si="0"/>
        <v>3219.469442780218</v>
      </c>
      <c r="P11" s="31">
        <f t="shared" si="8"/>
        <v>0.41658513012830994</v>
      </c>
      <c r="Q11" s="5">
        <f t="shared" si="9"/>
        <v>83.72224927408314</v>
      </c>
      <c r="R11" s="24">
        <f t="shared" si="10"/>
        <v>0.7566503260907051</v>
      </c>
      <c r="S11" s="5">
        <f>($B$10*$B$4*60)/(P11*O11*Constants!$D$9/Constants!$D$6+(1-P11)*O11*Constants!$E$9/Constants!$E$6)</f>
        <v>4.726258077873588</v>
      </c>
      <c r="T11" s="5">
        <f t="shared" si="17"/>
        <v>54.116678112657176</v>
      </c>
      <c r="U11" s="24">
        <f t="shared" si="16"/>
        <v>1</v>
      </c>
      <c r="V11" s="3">
        <f t="shared" si="11"/>
        <v>0</v>
      </c>
      <c r="W11" s="30">
        <f>V11/(R11*Constants!$D$10*Constants!$D$6+Constants!$E$6*Constants!$E$10*(1-R11))</f>
        <v>0</v>
      </c>
      <c r="X11" s="21">
        <f aca="true" t="shared" si="18" ref="X11:X58">W11-Y11</f>
        <v>0</v>
      </c>
      <c r="Y11" s="21">
        <f t="shared" si="2"/>
        <v>0</v>
      </c>
    </row>
    <row r="12" spans="1:25" ht="12.75">
      <c r="A12" s="1" t="s">
        <v>86</v>
      </c>
      <c r="B12" s="29">
        <v>0.15</v>
      </c>
      <c r="D12" s="3">
        <f t="shared" si="12"/>
        <v>8</v>
      </c>
      <c r="E12" s="30">
        <f t="shared" si="13"/>
        <v>8410.290821978317</v>
      </c>
      <c r="F12" s="30">
        <f t="shared" si="14"/>
        <v>1339.0456425279913</v>
      </c>
      <c r="G12" s="31">
        <f t="shared" si="15"/>
        <v>0.13734736178230755</v>
      </c>
      <c r="H12" s="30">
        <f>$B$10*60*$B$4/(G12*Constants!$D$10*Constants!$D$6+(1-G12)*Constants!$E$6*Constants!$E$10)</f>
        <v>31.154689134801263</v>
      </c>
      <c r="I12" s="24">
        <f t="shared" si="3"/>
        <v>0.6312665643496413</v>
      </c>
      <c r="J12" s="5">
        <f t="shared" si="4"/>
        <v>19.666913573507095</v>
      </c>
      <c r="K12" s="5">
        <f t="shared" si="5"/>
        <v>11.487775561294168</v>
      </c>
      <c r="L12" s="30"/>
      <c r="M12" s="30">
        <f t="shared" si="6"/>
        <v>1889.7091780216822</v>
      </c>
      <c r="N12" s="30">
        <f t="shared" si="7"/>
        <v>1360.9543574720087</v>
      </c>
      <c r="O12" s="30">
        <f t="shared" si="0"/>
        <v>3250.6635354936907</v>
      </c>
      <c r="P12" s="31">
        <f t="shared" si="8"/>
        <v>0.41866970931069164</v>
      </c>
      <c r="Q12" s="5">
        <f t="shared" si="9"/>
        <v>83.69259309821763</v>
      </c>
      <c r="R12" s="24">
        <f t="shared" si="10"/>
        <v>0.7574166984365065</v>
      </c>
      <c r="S12" s="5">
        <f>($B$10*$B$4*60)/(P12*O12*Constants!$D$9/Constants!$D$6+(1-P12)*O12*Constants!$E$9/Constants!$E$6)</f>
        <v>4.68233462946013</v>
      </c>
      <c r="T12" s="5">
        <f t="shared" si="17"/>
        <v>58.799012742117306</v>
      </c>
      <c r="U12" s="24">
        <f t="shared" si="16"/>
        <v>1</v>
      </c>
      <c r="V12" s="3">
        <f t="shared" si="11"/>
        <v>0</v>
      </c>
      <c r="W12" s="30">
        <f>V12/(R12*Constants!$D$10*Constants!$D$6+Constants!$E$6*Constants!$E$10*(1-R12))</f>
        <v>0</v>
      </c>
      <c r="X12" s="21">
        <f t="shared" si="18"/>
        <v>0</v>
      </c>
      <c r="Y12" s="21">
        <f t="shared" si="2"/>
        <v>0</v>
      </c>
    </row>
    <row r="13" spans="4:25" ht="12.75">
      <c r="D13" s="3">
        <f t="shared" si="12"/>
        <v>9</v>
      </c>
      <c r="E13" s="30">
        <f t="shared" si="13"/>
        <v>8398.803046417022</v>
      </c>
      <c r="F13" s="30">
        <f t="shared" si="14"/>
        <v>1319.3787289544841</v>
      </c>
      <c r="G13" s="31">
        <f t="shared" si="15"/>
        <v>0.13576394838570993</v>
      </c>
      <c r="H13" s="30">
        <f>$B$10*60*$B$4/(G13*Constants!$D$10*Constants!$D$6+(1-G13)*Constants!$E$6*Constants!$E$10)</f>
        <v>31.115385513205645</v>
      </c>
      <c r="I13" s="24">
        <f t="shared" si="3"/>
        <v>0.6286562241687319</v>
      </c>
      <c r="J13" s="5">
        <f t="shared" si="4"/>
        <v>19.56088077028632</v>
      </c>
      <c r="K13" s="5">
        <f t="shared" si="5"/>
        <v>11.554504742919324</v>
      </c>
      <c r="L13" s="30"/>
      <c r="M13" s="30">
        <f t="shared" si="6"/>
        <v>1901.1969535829764</v>
      </c>
      <c r="N13" s="30">
        <f t="shared" si="7"/>
        <v>1380.6212710455159</v>
      </c>
      <c r="O13" s="30">
        <f t="shared" si="0"/>
        <v>3281.8182246284923</v>
      </c>
      <c r="P13" s="31">
        <f t="shared" si="8"/>
        <v>0.42068791643748177</v>
      </c>
      <c r="Q13" s="5">
        <f t="shared" si="9"/>
        <v>83.66406903646754</v>
      </c>
      <c r="R13" s="24">
        <f t="shared" si="10"/>
        <v>0.7581642187973534</v>
      </c>
      <c r="S13" s="5">
        <f>($B$10*$B$4*60)/(P13*O13*Constants!$D$9/Constants!$D$6+(1-P13)*O13*Constants!$E$9/Constants!$E$6)</f>
        <v>4.63925757126641</v>
      </c>
      <c r="T13" s="5">
        <f t="shared" si="17"/>
        <v>63.43827031338372</v>
      </c>
      <c r="U13" s="24">
        <f t="shared" si="16"/>
        <v>1</v>
      </c>
      <c r="V13" s="3">
        <f t="shared" si="11"/>
        <v>0</v>
      </c>
      <c r="W13" s="30">
        <f>V13/(R13*Constants!$D$10*Constants!$D$6+Constants!$E$6*Constants!$E$10*(1-R13))</f>
        <v>0</v>
      </c>
      <c r="X13" s="21">
        <f t="shared" si="18"/>
        <v>0</v>
      </c>
      <c r="Y13" s="21">
        <f t="shared" si="2"/>
        <v>0</v>
      </c>
    </row>
    <row r="14" spans="4:25" ht="12.75">
      <c r="D14" s="3">
        <f t="shared" si="12"/>
        <v>10</v>
      </c>
      <c r="E14" s="30">
        <f t="shared" si="13"/>
        <v>8387.248541674104</v>
      </c>
      <c r="F14" s="30">
        <f t="shared" si="14"/>
        <v>1299.8178481841978</v>
      </c>
      <c r="G14" s="31">
        <f t="shared" si="15"/>
        <v>0.13418075151678724</v>
      </c>
      <c r="H14" s="30">
        <f>$B$10*60*$B$4/(G14*Constants!$D$10*Constants!$D$6+(1-G14)*Constants!$E$6*Constants!$E$10)</f>
        <v>31.076186289067582</v>
      </c>
      <c r="I14" s="24">
        <f t="shared" si="3"/>
        <v>0.6259823524765417</v>
      </c>
      <c r="J14" s="5">
        <f t="shared" si="4"/>
        <v>19.453144199229776</v>
      </c>
      <c r="K14" s="5">
        <f t="shared" si="5"/>
        <v>11.623042089837806</v>
      </c>
      <c r="L14" s="30"/>
      <c r="M14" s="30">
        <f t="shared" si="6"/>
        <v>1912.7514583258958</v>
      </c>
      <c r="N14" s="30">
        <f t="shared" si="7"/>
        <v>1400.1821518158022</v>
      </c>
      <c r="O14" s="30">
        <f t="shared" si="0"/>
        <v>3312.933610141698</v>
      </c>
      <c r="P14" s="31">
        <f t="shared" si="8"/>
        <v>0.42264117443509974</v>
      </c>
      <c r="Q14" s="5">
        <f t="shared" si="9"/>
        <v>83.63663604136616</v>
      </c>
      <c r="R14" s="24">
        <f t="shared" si="10"/>
        <v>0.7588927506783101</v>
      </c>
      <c r="S14" s="5">
        <f>($B$10*$B$4*60)/(P14*O14*Constants!$D$9/Constants!$D$6+(1-P14)*O14*Constants!$E$9/Constants!$E$6)</f>
        <v>4.597002230266476</v>
      </c>
      <c r="T14" s="5">
        <f t="shared" si="17"/>
        <v>68.0352725436502</v>
      </c>
      <c r="U14" s="24">
        <f t="shared" si="16"/>
        <v>1</v>
      </c>
      <c r="V14" s="3">
        <f t="shared" si="11"/>
        <v>0</v>
      </c>
      <c r="W14" s="30">
        <f>V14/(R14*Constants!$D$10*Constants!$D$6+Constants!$E$6*Constants!$E$10*(1-R14))</f>
        <v>0</v>
      </c>
      <c r="X14" s="21">
        <f t="shared" si="18"/>
        <v>0</v>
      </c>
      <c r="Y14" s="21">
        <f t="shared" si="2"/>
        <v>0</v>
      </c>
    </row>
    <row r="15" spans="2:25" ht="12.75">
      <c r="B15" s="23"/>
      <c r="D15" s="3">
        <f t="shared" si="12"/>
        <v>11</v>
      </c>
      <c r="E15" s="30">
        <f t="shared" si="13"/>
        <v>8375.625499584266</v>
      </c>
      <c r="F15" s="30">
        <f t="shared" si="14"/>
        <v>1280.364703984968</v>
      </c>
      <c r="G15" s="31">
        <f t="shared" si="15"/>
        <v>0.13259797048175284</v>
      </c>
      <c r="H15" s="30">
        <f>$B$10*60*$B$4/(G15*Constants!$D$10*Constants!$D$6+(1-G15)*Constants!$E$6*Constants!$E$10)</f>
        <v>31.03709596420781</v>
      </c>
      <c r="I15" s="24">
        <f t="shared" si="3"/>
        <v>0.623244090023712</v>
      </c>
      <c r="J15" s="5">
        <f t="shared" si="4"/>
        <v>19.34368663119132</v>
      </c>
      <c r="K15" s="5">
        <f t="shared" si="5"/>
        <v>11.69340933301649</v>
      </c>
      <c r="L15" s="30"/>
      <c r="M15" s="30">
        <f t="shared" si="6"/>
        <v>1924.3745004157336</v>
      </c>
      <c r="N15" s="30">
        <f t="shared" si="7"/>
        <v>1419.635296015032</v>
      </c>
      <c r="O15" s="30">
        <f t="shared" si="0"/>
        <v>3344.0097964307656</v>
      </c>
      <c r="P15" s="31">
        <f t="shared" si="8"/>
        <v>0.42453084244259154</v>
      </c>
      <c r="Q15" s="5">
        <f t="shared" si="9"/>
        <v>83.61025561136748</v>
      </c>
      <c r="R15" s="24">
        <f t="shared" si="10"/>
        <v>0.7596021877255477</v>
      </c>
      <c r="S15" s="5">
        <f>($B$10*$B$4*60)/(P15*O15*Constants!$D$9/Constants!$D$6+(1-P15)*O15*Constants!$E$9/Constants!$E$6)</f>
        <v>4.555544871244001</v>
      </c>
      <c r="T15" s="5">
        <f t="shared" si="17"/>
        <v>72.59081741489419</v>
      </c>
      <c r="U15" s="24">
        <f t="shared" si="16"/>
        <v>1</v>
      </c>
      <c r="V15" s="3">
        <f t="shared" si="11"/>
        <v>0</v>
      </c>
      <c r="W15" s="30">
        <f>V15/(R15*Constants!$D$10*Constants!$D$6+Constants!$E$6*Constants!$E$10*(1-R15))</f>
        <v>0</v>
      </c>
      <c r="X15" s="21">
        <f t="shared" si="18"/>
        <v>0</v>
      </c>
      <c r="Y15" s="21">
        <f t="shared" si="2"/>
        <v>0</v>
      </c>
    </row>
    <row r="16" spans="2:25" ht="12.75">
      <c r="B16" s="20"/>
      <c r="D16" s="3">
        <f t="shared" si="12"/>
        <v>12</v>
      </c>
      <c r="E16" s="30">
        <f t="shared" si="13"/>
        <v>8363.93209025125</v>
      </c>
      <c r="F16" s="30">
        <f t="shared" si="14"/>
        <v>1261.0210173537766</v>
      </c>
      <c r="G16" s="31">
        <f t="shared" si="15"/>
        <v>0.1310158089349441</v>
      </c>
      <c r="H16" s="30">
        <f>$B$10*60*$B$4/(G16*Constants!$D$10*Constants!$D$6+(1-G16)*Constants!$E$6*Constants!$E$10)</f>
        <v>30.998119100250687</v>
      </c>
      <c r="I16" s="24">
        <f t="shared" si="3"/>
        <v>0.620440604951155</v>
      </c>
      <c r="J16" s="5">
        <f t="shared" si="4"/>
        <v>19.23249176690749</v>
      </c>
      <c r="K16" s="5">
        <f t="shared" si="5"/>
        <v>11.765627333343197</v>
      </c>
      <c r="L16" s="30"/>
      <c r="M16" s="30">
        <f t="shared" si="6"/>
        <v>1936.06790974875</v>
      </c>
      <c r="N16" s="30">
        <f t="shared" si="7"/>
        <v>1438.9789826462234</v>
      </c>
      <c r="O16" s="30">
        <f t="shared" si="0"/>
        <v>3375.0468923949734</v>
      </c>
      <c r="P16" s="31">
        <f t="shared" si="8"/>
        <v>0.42635821916687705</v>
      </c>
      <c r="Q16" s="5">
        <f t="shared" si="9"/>
        <v>83.5848916076958</v>
      </c>
      <c r="R16" s="24">
        <f t="shared" si="10"/>
        <v>0.7602924511734725</v>
      </c>
      <c r="S16" s="5">
        <f>($B$10*$B$4*60)/(P16*O16*Constants!$D$9/Constants!$D$6+(1-P16)*O16*Constants!$E$9/Constants!$E$6)</f>
        <v>4.514862652695329</v>
      </c>
      <c r="T16" s="5">
        <f t="shared" si="17"/>
        <v>77.10568006758952</v>
      </c>
      <c r="U16" s="24">
        <f t="shared" si="16"/>
        <v>1</v>
      </c>
      <c r="V16" s="3">
        <f t="shared" si="11"/>
        <v>0</v>
      </c>
      <c r="W16" s="30">
        <f>V16/(R16*Constants!$D$10*Constants!$D$6+Constants!$E$6*Constants!$E$10*(1-R16))</f>
        <v>0</v>
      </c>
      <c r="X16" s="21">
        <f t="shared" si="18"/>
        <v>0</v>
      </c>
      <c r="Y16" s="21">
        <f t="shared" si="2"/>
        <v>0</v>
      </c>
    </row>
    <row r="17" spans="4:25" ht="12.75">
      <c r="D17" s="3">
        <f t="shared" si="12"/>
        <v>13</v>
      </c>
      <c r="E17" s="30">
        <f t="shared" si="13"/>
        <v>8352.166462917907</v>
      </c>
      <c r="F17" s="30">
        <f t="shared" si="14"/>
        <v>1241.7885255868691</v>
      </c>
      <c r="G17" s="31">
        <f t="shared" si="15"/>
        <v>0.12943447484116272</v>
      </c>
      <c r="H17" s="30">
        <f>$B$10*60*$B$4/(G17*Constants!$D$10*Constants!$D$6+(1-G17)*Constants!$E$6*Constants!$E$10)</f>
        <v>30.95926031684934</v>
      </c>
      <c r="I17" s="24">
        <f t="shared" si="3"/>
        <v>0.6175710951414128</v>
      </c>
      <c r="J17" s="5">
        <f t="shared" si="4"/>
        <v>19.11954429864473</v>
      </c>
      <c r="K17" s="5">
        <f t="shared" si="5"/>
        <v>11.839716018204609</v>
      </c>
      <c r="L17" s="30"/>
      <c r="M17" s="30">
        <f t="shared" si="6"/>
        <v>1947.8335370820932</v>
      </c>
      <c r="N17" s="30">
        <f t="shared" si="7"/>
        <v>1458.2114744131309</v>
      </c>
      <c r="O17" s="30">
        <f t="shared" si="0"/>
        <v>3406.045011495224</v>
      </c>
      <c r="P17" s="31">
        <f t="shared" si="8"/>
        <v>0.42812454606199957</v>
      </c>
      <c r="Q17" s="5">
        <f t="shared" si="9"/>
        <v>83.56051008608269</v>
      </c>
      <c r="R17" s="24">
        <f t="shared" si="10"/>
        <v>0.7609634874393252</v>
      </c>
      <c r="S17" s="5">
        <f>($B$10*$B$4*60)/(P17*O17*Constants!$D$9/Constants!$D$6+(1-P17)*O17*Constants!$E$9/Constants!$E$6)</f>
        <v>4.4749335852126695</v>
      </c>
      <c r="T17" s="5">
        <f t="shared" si="17"/>
        <v>81.58061365280219</v>
      </c>
      <c r="U17" s="24">
        <f t="shared" si="16"/>
        <v>1</v>
      </c>
      <c r="V17" s="3">
        <f t="shared" si="11"/>
        <v>0</v>
      </c>
      <c r="W17" s="30">
        <f>V17/(R17*Constants!$D$10*Constants!$D$6+Constants!$E$6*Constants!$E$10*(1-R17))</f>
        <v>0</v>
      </c>
      <c r="X17" s="21">
        <f t="shared" si="18"/>
        <v>0</v>
      </c>
      <c r="Y17" s="21">
        <f t="shared" si="2"/>
        <v>0</v>
      </c>
    </row>
    <row r="18" spans="2:25" ht="12.75">
      <c r="B18" s="23"/>
      <c r="D18" s="3">
        <f t="shared" si="12"/>
        <v>14</v>
      </c>
      <c r="E18" s="30">
        <f t="shared" si="13"/>
        <v>8340.326746899702</v>
      </c>
      <c r="F18" s="30">
        <f t="shared" si="14"/>
        <v>1222.6689812882244</v>
      </c>
      <c r="G18" s="31">
        <f t="shared" si="15"/>
        <v>0.1278541804305402</v>
      </c>
      <c r="H18" s="30">
        <f>$B$10*60*$B$4/(G18*Constants!$D$10*Constants!$D$6+(1-G18)*Constants!$E$6*Constants!$E$10)</f>
        <v>30.920524289769407</v>
      </c>
      <c r="I18" s="24">
        <f t="shared" si="3"/>
        <v>0.6146347906214366</v>
      </c>
      <c r="J18" s="5">
        <f t="shared" si="4"/>
        <v>19.004829972747462</v>
      </c>
      <c r="K18" s="5">
        <f t="shared" si="5"/>
        <v>11.915694317021945</v>
      </c>
      <c r="L18" s="30"/>
      <c r="M18" s="30">
        <f t="shared" si="6"/>
        <v>1959.6732531002979</v>
      </c>
      <c r="N18" s="30">
        <f t="shared" si="7"/>
        <v>1477.3310187117756</v>
      </c>
      <c r="O18" s="30">
        <f t="shared" si="0"/>
        <v>3437.0042718120735</v>
      </c>
      <c r="P18" s="31">
        <f t="shared" si="8"/>
        <v>0.429831010344625</v>
      </c>
      <c r="Q18" s="5">
        <f t="shared" si="9"/>
        <v>83.53707914200578</v>
      </c>
      <c r="R18" s="24">
        <f t="shared" si="10"/>
        <v>0.7616152658672317</v>
      </c>
      <c r="S18" s="5">
        <f>($B$10*$B$4*60)/(P18*O18*Constants!$D$9/Constants!$D$6+(1-P18)*O18*Constants!$E$9/Constants!$E$6)</f>
        <v>4.435736492186735</v>
      </c>
      <c r="T18" s="5">
        <f t="shared" si="17"/>
        <v>83.53707914200578</v>
      </c>
      <c r="U18" s="24">
        <f t="shared" si="16"/>
        <v>0.4410689166612541</v>
      </c>
      <c r="V18" s="3">
        <f t="shared" si="11"/>
        <v>33535.86500032476</v>
      </c>
      <c r="W18" s="30">
        <f>V18/(R18*Constants!$D$10*Constants!$D$6+Constants!$E$6*Constants!$E$10*(1-R18))</f>
        <v>34.68827172049267</v>
      </c>
      <c r="X18" s="21">
        <f t="shared" si="18"/>
        <v>8.269154431614869</v>
      </c>
      <c r="Y18" s="21">
        <f t="shared" si="2"/>
        <v>26.419117288877803</v>
      </c>
    </row>
    <row r="19" spans="2:25" ht="12.75">
      <c r="B19" s="23"/>
      <c r="D19" s="3">
        <f t="shared" si="12"/>
        <v>15</v>
      </c>
      <c r="E19" s="30">
        <f t="shared" si="13"/>
        <v>8328.41105258268</v>
      </c>
      <c r="F19" s="30">
        <f t="shared" si="14"/>
        <v>1203.6641513154768</v>
      </c>
      <c r="G19" s="31">
        <f t="shared" si="15"/>
        <v>0.12627514214567218</v>
      </c>
      <c r="H19" s="30">
        <f>$B$10*60*$B$4/(G19*Constants!$D$10*Constants!$D$6+(1-G19)*Constants!$E$6*Constants!$E$10)</f>
        <v>30.88191574882861</v>
      </c>
      <c r="I19" s="24">
        <f t="shared" si="3"/>
        <v>0.6116309560125874</v>
      </c>
      <c r="J19" s="5">
        <f t="shared" si="4"/>
        <v>18.888335652956222</v>
      </c>
      <c r="K19" s="5">
        <f t="shared" si="5"/>
        <v>11.993580095872389</v>
      </c>
      <c r="L19" s="30"/>
      <c r="M19" s="30">
        <f t="shared" si="6"/>
        <v>1963.319792985705</v>
      </c>
      <c r="N19" s="30">
        <f t="shared" si="7"/>
        <v>1469.9167313956455</v>
      </c>
      <c r="O19" s="30">
        <f t="shared" si="0"/>
        <v>3433.23652438135</v>
      </c>
      <c r="P19" s="31">
        <f t="shared" si="8"/>
        <v>0.428143159073643</v>
      </c>
      <c r="Q19" s="5">
        <f t="shared" si="9"/>
        <v>83.56025386105175</v>
      </c>
      <c r="R19" s="24">
        <f t="shared" si="10"/>
        <v>0.7609705783176008</v>
      </c>
      <c r="S19" s="5">
        <f>($B$10*$B$4*60)/(P19*O19*Constants!$D$9/Constants!$D$6+(1-P19)*O19*Constants!$E$9/Constants!$E$6)</f>
        <v>4.439503880039311</v>
      </c>
      <c r="T19" s="5">
        <f t="shared" si="17"/>
        <v>83.56025386105175</v>
      </c>
      <c r="U19" s="24">
        <f t="shared" si="16"/>
        <v>0.0052201146056354755</v>
      </c>
      <c r="V19" s="3">
        <f t="shared" si="11"/>
        <v>59686.793123661875</v>
      </c>
      <c r="W19" s="30">
        <f>V19/(R19*Constants!$D$10*Constants!$D$6+Constants!$E$6*Constants!$E$10*(1-R19))</f>
        <v>61.67464906428579</v>
      </c>
      <c r="X19" s="21">
        <f t="shared" si="18"/>
        <v>14.74205569830115</v>
      </c>
      <c r="Y19" s="21">
        <f t="shared" si="2"/>
        <v>46.93259336598464</v>
      </c>
    </row>
    <row r="20" spans="2:25" ht="12.75">
      <c r="B20" s="21"/>
      <c r="D20" s="3">
        <f t="shared" si="12"/>
        <v>16</v>
      </c>
      <c r="E20" s="30">
        <f t="shared" si="13"/>
        <v>8316.417472486808</v>
      </c>
      <c r="F20" s="30">
        <f t="shared" si="14"/>
        <v>1184.7758156625207</v>
      </c>
      <c r="G20" s="31">
        <f t="shared" si="15"/>
        <v>0.12469758058077512</v>
      </c>
      <c r="H20" s="30">
        <f>$B$10*60*$B$4/(G20*Constants!$D$10*Constants!$D$6+(1-G20)*Constants!$E$6*Constants!$E$10)</f>
        <v>30.843439475689884</v>
      </c>
      <c r="I20" s="24">
        <f t="shared" si="3"/>
        <v>0.6085588930231839</v>
      </c>
      <c r="J20" s="5">
        <f t="shared" si="4"/>
        <v>18.770049384353406</v>
      </c>
      <c r="K20" s="5">
        <f t="shared" si="5"/>
        <v>12.073390091336478</v>
      </c>
      <c r="L20" s="30"/>
      <c r="M20" s="30">
        <f t="shared" si="6"/>
        <v>1960.5713173832762</v>
      </c>
      <c r="N20" s="30">
        <f t="shared" si="7"/>
        <v>1441.872473682617</v>
      </c>
      <c r="O20" s="30">
        <f t="shared" si="0"/>
        <v>3402.4437910658935</v>
      </c>
      <c r="P20" s="31">
        <f t="shared" si="8"/>
        <v>0.42377554552662206</v>
      </c>
      <c r="Q20" s="5">
        <f t="shared" si="9"/>
        <v>83.62078116885573</v>
      </c>
      <c r="R20" s="24">
        <f t="shared" si="10"/>
        <v>0.7593180891836084</v>
      </c>
      <c r="S20" s="5">
        <f>($B$10*$B$4*60)/(P20*O20*Constants!$D$9/Constants!$D$6+(1-P20)*O20*Constants!$E$9/Constants!$E$6)</f>
        <v>4.476811143196516</v>
      </c>
      <c r="T20" s="5">
        <f t="shared" si="17"/>
        <v>83.62078116885573</v>
      </c>
      <c r="U20" s="24">
        <f t="shared" si="16"/>
        <v>0.013520183422515921</v>
      </c>
      <c r="V20" s="3">
        <f t="shared" si="11"/>
        <v>59188.78899464904</v>
      </c>
      <c r="W20" s="30">
        <f>V20/(R20*Constants!$D$10*Constants!$D$6+Constants!$E$6*Constants!$E$10*(1-R20))</f>
        <v>61.00003394316321</v>
      </c>
      <c r="X20" s="21">
        <f t="shared" si="18"/>
        <v>14.681604729305263</v>
      </c>
      <c r="Y20" s="21">
        <f t="shared" si="2"/>
        <v>46.31842921385795</v>
      </c>
    </row>
    <row r="21" spans="4:25" ht="12.75">
      <c r="D21" s="3">
        <f aca="true" t="shared" si="19" ref="D21:D58">D20+$B$4</f>
        <v>17</v>
      </c>
      <c r="E21" s="30">
        <f t="shared" si="13"/>
        <v>8304.344082395472</v>
      </c>
      <c r="F21" s="30">
        <f t="shared" si="14"/>
        <v>1166.0057662781674</v>
      </c>
      <c r="G21" s="31">
        <f t="shared" si="15"/>
        <v>0.12312172041262776</v>
      </c>
      <c r="H21" s="30">
        <f>$B$10*60*$B$4/(G21*Constants!$D$10*Constants!$D$6+(1-G21)*Constants!$E$6*Constants!$E$10)</f>
        <v>30.80510030150593</v>
      </c>
      <c r="I21" s="24">
        <f t="shared" si="3"/>
        <v>0.6054179429784798</v>
      </c>
      <c r="J21" s="5">
        <f t="shared" si="4"/>
        <v>18.649960457783468</v>
      </c>
      <c r="K21" s="5">
        <f t="shared" si="5"/>
        <v>12.155139843722463</v>
      </c>
      <c r="L21" s="30"/>
      <c r="M21" s="30">
        <f t="shared" si="6"/>
        <v>1957.9631027453074</v>
      </c>
      <c r="N21" s="30">
        <f t="shared" si="7"/>
        <v>1414.3240938531123</v>
      </c>
      <c r="O21" s="30">
        <f t="shared" si="0"/>
        <v>3372.2871965984195</v>
      </c>
      <c r="P21" s="31">
        <f t="shared" si="8"/>
        <v>0.41939609867146604</v>
      </c>
      <c r="Q21" s="5">
        <f t="shared" si="9"/>
        <v>83.68230564284517</v>
      </c>
      <c r="R21" s="24">
        <f aca="true" t="shared" si="20" ref="R21:R58">ml_vap(P21)</f>
        <v>0.7576851229987054</v>
      </c>
      <c r="S21" s="5">
        <f>($B$10*$B$4*60)/(P21*O21*Constants!$D$9/Constants!$D$6+(1-P21)*O21*Constants!$E$9/Constants!$E$6)</f>
        <v>4.513944066850729</v>
      </c>
      <c r="T21" s="5">
        <f t="shared" si="17"/>
        <v>83.68230564284517</v>
      </c>
      <c r="U21" s="24">
        <f aca="true" t="shared" si="21" ref="U21:U58">IF(S21+T20&lt;Q21,1,MAX(0,(Q21-T20)/S21))</f>
        <v>0.013629870702487605</v>
      </c>
      <c r="V21" s="3">
        <f t="shared" si="11"/>
        <v>59182.207757850745</v>
      </c>
      <c r="W21" s="30">
        <f>V21/(R21*Constants!$D$10*Constants!$D$6+Constants!$E$6*Constants!$E$10*(1-R21))</f>
        <v>60.83595482012681</v>
      </c>
      <c r="X21" s="21">
        <f t="shared" si="18"/>
        <v>14.74145690949534</v>
      </c>
      <c r="Y21" s="21">
        <f t="shared" si="2"/>
        <v>46.09449791063147</v>
      </c>
    </row>
    <row r="22" spans="4:25" ht="12.75">
      <c r="D22" s="3">
        <f t="shared" si="19"/>
        <v>18</v>
      </c>
      <c r="E22" s="30">
        <f t="shared" si="13"/>
        <v>8292.18894255175</v>
      </c>
      <c r="F22" s="30">
        <f t="shared" si="14"/>
        <v>1147.355805820384</v>
      </c>
      <c r="G22" s="31">
        <f t="shared" si="15"/>
        <v>0.1215477903230712</v>
      </c>
      <c r="H22" s="30">
        <f>$B$10*60*$B$4/(G22*Constants!$D$10*Constants!$D$6+(1-G22)*Constants!$E$6*Constants!$E$10)</f>
        <v>30.766903104413473</v>
      </c>
      <c r="I22" s="24">
        <f t="shared" si="3"/>
        <v>0.6022074893824798</v>
      </c>
      <c r="J22" s="5">
        <f t="shared" si="4"/>
        <v>18.52805947458286</v>
      </c>
      <c r="K22" s="5">
        <f t="shared" si="5"/>
        <v>12.238843629830612</v>
      </c>
      <c r="L22" s="30"/>
      <c r="M22" s="30">
        <f t="shared" si="6"/>
        <v>1955.3767856795346</v>
      </c>
      <c r="N22" s="30">
        <f t="shared" si="7"/>
        <v>1386.8795564002644</v>
      </c>
      <c r="O22" s="30">
        <f t="shared" si="0"/>
        <v>3342.2563420797987</v>
      </c>
      <c r="P22" s="31">
        <f t="shared" si="8"/>
        <v>0.4149530779369381</v>
      </c>
      <c r="Q22" s="5">
        <f t="shared" si="9"/>
        <v>83.7456073801995</v>
      </c>
      <c r="R22" s="24">
        <f t="shared" si="20"/>
        <v>0.7560544795461888</v>
      </c>
      <c r="S22" s="5">
        <f>($B$10*$B$4*60)/(P22*O22*Constants!$D$9/Constants!$D$6+(1-P22)*O22*Constants!$E$9/Constants!$E$6)</f>
        <v>4.551537211888354</v>
      </c>
      <c r="T22" s="5">
        <f t="shared" si="17"/>
        <v>83.7456073801995</v>
      </c>
      <c r="U22" s="24">
        <f t="shared" si="21"/>
        <v>0.013907771024917966</v>
      </c>
      <c r="V22" s="3">
        <f t="shared" si="11"/>
        <v>59165.53373850493</v>
      </c>
      <c r="W22" s="30">
        <f>V22/(R22*Constants!$D$10*Constants!$D$6+Constants!$E$6*Constants!$E$10*(1-R22))</f>
        <v>60.66259364476368</v>
      </c>
      <c r="X22" s="21">
        <f t="shared" si="18"/>
        <v>14.798367978749937</v>
      </c>
      <c r="Y22" s="21">
        <f t="shared" si="2"/>
        <v>45.864225666013745</v>
      </c>
    </row>
    <row r="23" spans="4:25" ht="12.75">
      <c r="D23" s="3">
        <f t="shared" si="19"/>
        <v>19</v>
      </c>
      <c r="E23" s="30">
        <f t="shared" si="13"/>
        <v>8279.95009892192</v>
      </c>
      <c r="F23" s="30">
        <f t="shared" si="14"/>
        <v>1128.827746345801</v>
      </c>
      <c r="G23" s="31">
        <f t="shared" si="15"/>
        <v>0.11997602291285482</v>
      </c>
      <c r="H23" s="30">
        <f>$B$10*60*$B$4/(G23*Constants!$D$10*Constants!$D$6+(1-G23)*Constants!$E$6*Constants!$E$10)</f>
        <v>30.728852806875626</v>
      </c>
      <c r="I23" s="24">
        <f t="shared" si="3"/>
        <v>0.5989269605055176</v>
      </c>
      <c r="J23" s="5">
        <f t="shared" si="4"/>
        <v>18.40433841144346</v>
      </c>
      <c r="K23" s="5">
        <f t="shared" si="5"/>
        <v>12.324514395432164</v>
      </c>
      <c r="L23" s="30"/>
      <c r="M23" s="30">
        <f t="shared" si="6"/>
        <v>1952.8172613306153</v>
      </c>
      <c r="N23" s="30">
        <f t="shared" si="7"/>
        <v>1359.5433902088337</v>
      </c>
      <c r="O23" s="30">
        <f t="shared" si="0"/>
        <v>3312.360651539449</v>
      </c>
      <c r="P23" s="31">
        <f t="shared" si="8"/>
        <v>0.41044545966846147</v>
      </c>
      <c r="Q23" s="5">
        <f t="shared" si="9"/>
        <v>83.81077293769616</v>
      </c>
      <c r="R23" s="24">
        <f t="shared" si="20"/>
        <v>0.7544283648452317</v>
      </c>
      <c r="S23" s="5">
        <f>($B$10*$B$4*60)/(P23*O23*Constants!$D$9/Constants!$D$6+(1-P23)*O23*Constants!$E$9/Constants!$E$6)</f>
        <v>4.58958522838162</v>
      </c>
      <c r="T23" s="5">
        <f t="shared" si="17"/>
        <v>83.81077293769616</v>
      </c>
      <c r="U23" s="24">
        <f t="shared" si="21"/>
        <v>0.014198572257396364</v>
      </c>
      <c r="V23" s="3">
        <f t="shared" si="11"/>
        <v>59148.085664556216</v>
      </c>
      <c r="W23" s="30">
        <f>V23/(R23*Constants!$D$10*Constants!$D$6+Constants!$E$6*Constants!$E$10*(1-R23))</f>
        <v>60.48975960000723</v>
      </c>
      <c r="X23" s="21">
        <f t="shared" si="18"/>
        <v>14.854569175092621</v>
      </c>
      <c r="Y23" s="21">
        <f t="shared" si="2"/>
        <v>45.63519042491461</v>
      </c>
    </row>
    <row r="24" spans="4:25" ht="12.75">
      <c r="D24" s="3">
        <f t="shared" si="19"/>
        <v>20</v>
      </c>
      <c r="E24" s="30">
        <f t="shared" si="13"/>
        <v>8267.625584526488</v>
      </c>
      <c r="F24" s="30">
        <f t="shared" si="14"/>
        <v>1110.4234079343576</v>
      </c>
      <c r="G24" s="31">
        <f t="shared" si="15"/>
        <v>0.11840665460662914</v>
      </c>
      <c r="H24" s="30">
        <f>$B$10*60*$B$4/(G24*Constants!$D$10*Constants!$D$6+(1-G24)*Constants!$E$6*Constants!$E$10)</f>
        <v>30.69095437287143</v>
      </c>
      <c r="I24" s="24">
        <f t="shared" si="3"/>
        <v>0.5955758319910689</v>
      </c>
      <c r="J24" s="5">
        <f t="shared" si="4"/>
        <v>18.278790685222837</v>
      </c>
      <c r="K24" s="5">
        <f t="shared" si="5"/>
        <v>12.412163687648594</v>
      </c>
      <c r="L24" s="30"/>
      <c r="M24" s="30">
        <f t="shared" si="6"/>
        <v>1950.2872065509548</v>
      </c>
      <c r="N24" s="30">
        <f t="shared" si="7"/>
        <v>1332.3125381953625</v>
      </c>
      <c r="O24" s="30">
        <f t="shared" si="0"/>
        <v>3282.5997447463174</v>
      </c>
      <c r="P24" s="31">
        <f t="shared" si="8"/>
        <v>0.4058711514639215</v>
      </c>
      <c r="Q24" s="5">
        <f t="shared" si="9"/>
        <v>83.87790962694362</v>
      </c>
      <c r="R24" s="24">
        <f t="shared" si="20"/>
        <v>0.7528086846044424</v>
      </c>
      <c r="S24" s="5">
        <f>($B$10*$B$4*60)/(P24*O24*Constants!$D$9/Constants!$D$6+(1-P24)*O24*Constants!$E$9/Constants!$E$6)</f>
        <v>4.628095128832909</v>
      </c>
      <c r="T24" s="5">
        <f t="shared" si="17"/>
        <v>83.87790962694362</v>
      </c>
      <c r="U24" s="24">
        <f t="shared" si="21"/>
        <v>0.014506333033044745</v>
      </c>
      <c r="V24" s="3">
        <f t="shared" si="11"/>
        <v>59129.62001801732</v>
      </c>
      <c r="W24" s="30">
        <f>V24/(R24*Constants!$D$10*Constants!$D$6+Constants!$E$6*Constants!$E$10*(1-R24))</f>
        <v>60.31737671332646</v>
      </c>
      <c r="X24" s="21">
        <f t="shared" si="18"/>
        <v>14.909931690976542</v>
      </c>
      <c r="Y24" s="21">
        <f t="shared" si="2"/>
        <v>45.40744502234992</v>
      </c>
    </row>
    <row r="25" spans="4:25" ht="12.75">
      <c r="D25" s="3">
        <f t="shared" si="19"/>
        <v>21</v>
      </c>
      <c r="E25" s="30">
        <f t="shared" si="13"/>
        <v>8255.21342083884</v>
      </c>
      <c r="F25" s="30">
        <f t="shared" si="14"/>
        <v>1092.1446172491346</v>
      </c>
      <c r="G25" s="31">
        <f t="shared" si="15"/>
        <v>0.11683992554890255</v>
      </c>
      <c r="H25" s="30">
        <f>$B$10*60*$B$4/(G25*Constants!$D$10*Constants!$D$6+(1-G25)*Constants!$E$6*Constants!$E$10)</f>
        <v>30.653212804931627</v>
      </c>
      <c r="I25" s="24">
        <f t="shared" si="3"/>
        <v>0.5921536294747696</v>
      </c>
      <c r="J25" s="5">
        <f t="shared" si="4"/>
        <v>18.151411217502744</v>
      </c>
      <c r="K25" s="5">
        <f t="shared" si="5"/>
        <v>12.501801587428883</v>
      </c>
      <c r="L25" s="30"/>
      <c r="M25" s="30">
        <f t="shared" si="6"/>
        <v>1947.789438547627</v>
      </c>
      <c r="N25" s="30">
        <f t="shared" si="7"/>
        <v>1305.1838838582355</v>
      </c>
      <c r="O25" s="30">
        <f t="shared" si="0"/>
        <v>3252.9733224058627</v>
      </c>
      <c r="P25" s="31">
        <f t="shared" si="8"/>
        <v>0.4012279703827808</v>
      </c>
      <c r="Q25" s="5">
        <f t="shared" si="9"/>
        <v>83.94713238878539</v>
      </c>
      <c r="R25" s="24">
        <f t="shared" si="20"/>
        <v>0.7511974044954717</v>
      </c>
      <c r="S25" s="5">
        <f>($B$10*$B$4*60)/(P25*O25*Constants!$D$9/Constants!$D$6+(1-P25)*O25*Constants!$E$9/Constants!$E$6)</f>
        <v>4.667073917691983</v>
      </c>
      <c r="T25" s="5">
        <f t="shared" si="17"/>
        <v>83.94713238878539</v>
      </c>
      <c r="U25" s="24">
        <f t="shared" si="21"/>
        <v>0.014832154592487073</v>
      </c>
      <c r="V25" s="3">
        <f t="shared" si="11"/>
        <v>59110.07072445077</v>
      </c>
      <c r="W25" s="30">
        <f>V25/(R25*Constants!$D$10*Constants!$D$6+Constants!$E$6*Constants!$E$10*(1-R25))</f>
        <v>60.14555394295317</v>
      </c>
      <c r="X25" s="21">
        <f t="shared" si="18"/>
        <v>14.964369929064368</v>
      </c>
      <c r="Y25" s="21">
        <f t="shared" si="2"/>
        <v>45.1811840138888</v>
      </c>
    </row>
    <row r="26" spans="4:25" ht="12.75">
      <c r="D26" s="3">
        <f t="shared" si="19"/>
        <v>22</v>
      </c>
      <c r="E26" s="30">
        <f t="shared" si="13"/>
        <v>8242.711619251411</v>
      </c>
      <c r="F26" s="30">
        <f t="shared" si="14"/>
        <v>1073.9932060316319</v>
      </c>
      <c r="G26" s="31">
        <f t="shared" si="15"/>
        <v>0.11527607949079827</v>
      </c>
      <c r="H26" s="30">
        <f>$B$10*60*$B$4/(G26*Constants!$D$10*Constants!$D$6+(1-G26)*Constants!$E$6*Constants!$E$10)</f>
        <v>30.615633141020567</v>
      </c>
      <c r="I26" s="24">
        <f t="shared" si="3"/>
        <v>0.5886599312081661</v>
      </c>
      <c r="J26" s="5">
        <f t="shared" si="4"/>
        <v>18.022196498687617</v>
      </c>
      <c r="K26" s="5">
        <f t="shared" si="5"/>
        <v>12.59343664233295</v>
      </c>
      <c r="L26" s="30"/>
      <c r="M26" s="30">
        <f t="shared" si="6"/>
        <v>1945.3268702059916</v>
      </c>
      <c r="N26" s="30">
        <f t="shared" si="7"/>
        <v>1278.1541110618496</v>
      </c>
      <c r="O26" s="30">
        <f t="shared" si="0"/>
        <v>3223.4809812678413</v>
      </c>
      <c r="P26" s="31">
        <f t="shared" si="8"/>
        <v>0.3965136194348301</v>
      </c>
      <c r="Q26" s="5">
        <f t="shared" si="9"/>
        <v>84.01856472068084</v>
      </c>
      <c r="R26" s="24">
        <f t="shared" si="20"/>
        <v>0.7495965320561986</v>
      </c>
      <c r="S26" s="5">
        <f>($B$10*$B$4*60)/(P26*O26*Constants!$D$9/Constants!$D$6+(1-P26)*O26*Constants!$E$9/Constants!$E$6)</f>
        <v>4.7065288380914865</v>
      </c>
      <c r="T26" s="5">
        <f t="shared" si="17"/>
        <v>84.01856472068084</v>
      </c>
      <c r="U26" s="24">
        <f t="shared" si="21"/>
        <v>0.015177285501222455</v>
      </c>
      <c r="V26" s="3">
        <f t="shared" si="11"/>
        <v>59089.362869926656</v>
      </c>
      <c r="W26" s="30">
        <f>V26/(R26*Constants!$D$10*Constants!$D$6+Constants!$E$6*Constants!$E$10*(1-R26))</f>
        <v>59.97439202729687</v>
      </c>
      <c r="X26" s="21">
        <f t="shared" si="18"/>
        <v>15.017795751456212</v>
      </c>
      <c r="Y26" s="21">
        <f t="shared" si="2"/>
        <v>44.95659627584066</v>
      </c>
    </row>
    <row r="27" spans="4:25" ht="12.75">
      <c r="D27" s="3">
        <f t="shared" si="19"/>
        <v>23</v>
      </c>
      <c r="E27" s="30">
        <f t="shared" si="13"/>
        <v>8230.118182609078</v>
      </c>
      <c r="F27" s="30">
        <f t="shared" si="14"/>
        <v>1055.9710095329442</v>
      </c>
      <c r="G27" s="31">
        <f t="shared" si="15"/>
        <v>0.11371536366746476</v>
      </c>
      <c r="H27" s="30">
        <f>$B$10*60*$B$4/(G27*Constants!$D$10*Constants!$D$6+(1-G27)*Constants!$E$6*Constants!$E$10)</f>
        <v>30.578220451264066</v>
      </c>
      <c r="I27" s="24">
        <f t="shared" si="3"/>
        <v>0.5850943706792472</v>
      </c>
      <c r="J27" s="5">
        <f t="shared" si="4"/>
        <v>17.891144651423634</v>
      </c>
      <c r="K27" s="5">
        <f t="shared" si="5"/>
        <v>12.687075799840432</v>
      </c>
      <c r="L27" s="30"/>
      <c r="M27" s="30">
        <f t="shared" si="6"/>
        <v>1942.9025110968685</v>
      </c>
      <c r="N27" s="30">
        <f t="shared" si="7"/>
        <v>1251.2197112846966</v>
      </c>
      <c r="O27" s="30">
        <f t="shared" si="0"/>
        <v>3194.122222381565</v>
      </c>
      <c r="P27" s="31">
        <f t="shared" si="8"/>
        <v>0.39172568366897886</v>
      </c>
      <c r="Q27" s="5">
        <f t="shared" si="9"/>
        <v>84.09233938644041</v>
      </c>
      <c r="R27" s="24">
        <f t="shared" si="20"/>
        <v>0.7480081025079834</v>
      </c>
      <c r="S27" s="5">
        <f>($B$10*$B$4*60)/(P27*O27*Constants!$D$9/Constants!$D$6+(1-P27)*O27*Constants!$E$9/Constants!$E$6)</f>
        <v>4.746467372628665</v>
      </c>
      <c r="T27" s="5">
        <f t="shared" si="17"/>
        <v>84.09233938644041</v>
      </c>
      <c r="U27" s="24">
        <f t="shared" si="21"/>
        <v>0.015543068132103188</v>
      </c>
      <c r="V27" s="3">
        <f t="shared" si="11"/>
        <v>59067.41591207381</v>
      </c>
      <c r="W27" s="30">
        <f>V27/(R27*Constants!$D$10*Constants!$D$6+Constants!$E$6*Constants!$E$10*(1-R27))</f>
        <v>59.803985497442326</v>
      </c>
      <c r="X27" s="21">
        <f t="shared" si="18"/>
        <v>15.07011978308553</v>
      </c>
      <c r="Y27" s="21">
        <f t="shared" si="2"/>
        <v>44.733865714356796</v>
      </c>
    </row>
    <row r="28" spans="4:25" ht="12.75">
      <c r="D28" s="3">
        <f t="shared" si="19"/>
        <v>24</v>
      </c>
      <c r="E28" s="30">
        <f t="shared" si="13"/>
        <v>8217.431106809237</v>
      </c>
      <c r="F28" s="30">
        <f t="shared" si="14"/>
        <v>1038.0798648815205</v>
      </c>
      <c r="G28" s="31">
        <f t="shared" si="15"/>
        <v>0.11215802866601632</v>
      </c>
      <c r="H28" s="30">
        <f>$B$10*60*$B$4/(G28*Constants!$D$10*Constants!$D$6+(1-G28)*Constants!$E$6*Constants!$E$10)</f>
        <v>30.540979834523995</v>
      </c>
      <c r="I28" s="24">
        <f t="shared" si="3"/>
        <v>0.5814566392213592</v>
      </c>
      <c r="J28" s="5">
        <f t="shared" si="4"/>
        <v>17.758255493109623</v>
      </c>
      <c r="K28" s="5">
        <f t="shared" si="5"/>
        <v>12.782724341414372</v>
      </c>
      <c r="L28" s="30"/>
      <c r="M28" s="30">
        <f t="shared" si="6"/>
        <v>1940.5194671136233</v>
      </c>
      <c r="N28" s="30">
        <f t="shared" si="7"/>
        <v>1224.3769902217634</v>
      </c>
      <c r="O28" s="30">
        <f t="shared" si="0"/>
        <v>3164.896457335387</v>
      </c>
      <c r="P28" s="31">
        <f t="shared" si="8"/>
        <v>0.38686162619443165</v>
      </c>
      <c r="Q28" s="5">
        <f t="shared" si="9"/>
        <v>84.1685991927151</v>
      </c>
      <c r="R28" s="24">
        <f t="shared" si="20"/>
        <v>0.746434160471428</v>
      </c>
      <c r="S28" s="5">
        <f>($B$10*$B$4*60)/(P28*O28*Constants!$D$9/Constants!$D$6+(1-P28)*O28*Constants!$E$9/Constants!$E$6)</f>
        <v>4.786897246715557</v>
      </c>
      <c r="T28" s="5">
        <f t="shared" si="17"/>
        <v>84.1685991927151</v>
      </c>
      <c r="U28" s="24">
        <f t="shared" si="21"/>
        <v>0.015930946988054955</v>
      </c>
      <c r="V28" s="3">
        <f t="shared" si="11"/>
        <v>59044.1431807167</v>
      </c>
      <c r="W28" s="30">
        <f>V28/(R28*Constants!$D$10*Constants!$D$6+Constants!$E$6*Constants!$E$10*(1-R28))</f>
        <v>59.634420560233416</v>
      </c>
      <c r="X28" s="21">
        <f t="shared" si="18"/>
        <v>15.121251914155522</v>
      </c>
      <c r="Y28" s="21">
        <f t="shared" si="2"/>
        <v>44.513168646077894</v>
      </c>
    </row>
    <row r="29" spans="4:25" ht="12.75">
      <c r="D29" s="3">
        <f t="shared" si="19"/>
        <v>25</v>
      </c>
      <c r="E29" s="30">
        <f t="shared" si="13"/>
        <v>8204.648382467823</v>
      </c>
      <c r="F29" s="30">
        <f t="shared" si="14"/>
        <v>1020.3216093884109</v>
      </c>
      <c r="G29" s="31">
        <f t="shared" si="15"/>
        <v>0.11060432828390192</v>
      </c>
      <c r="H29" s="30">
        <f>$B$10*60*$B$4/(G29*Constants!$D$10*Constants!$D$6+(1-G29)*Constants!$E$6*Constants!$E$10)</f>
        <v>30.50391641482038</v>
      </c>
      <c r="I29" s="24">
        <f t="shared" si="3"/>
        <v>0.577746488601679</v>
      </c>
      <c r="J29" s="5">
        <f t="shared" si="4"/>
        <v>17.623530597261592</v>
      </c>
      <c r="K29" s="5">
        <f t="shared" si="5"/>
        <v>12.880385817558789</v>
      </c>
      <c r="L29" s="30"/>
      <c r="M29" s="30">
        <f t="shared" si="6"/>
        <v>1938.1809395408823</v>
      </c>
      <c r="N29" s="30">
        <f t="shared" si="7"/>
        <v>1197.622077068795</v>
      </c>
      <c r="O29" s="30">
        <f t="shared" si="0"/>
        <v>3135.8030166096773</v>
      </c>
      <c r="P29" s="31">
        <f t="shared" si="8"/>
        <v>0.38191878467022555</v>
      </c>
      <c r="Q29" s="5">
        <f t="shared" si="9"/>
        <v>84.24749783045675</v>
      </c>
      <c r="R29" s="24">
        <f t="shared" si="20"/>
        <v>0.7448767368648817</v>
      </c>
      <c r="S29" s="5">
        <f>($B$10*$B$4*60)/(P29*O29*Constants!$D$9/Constants!$D$6+(1-P29)*O29*Constants!$E$9/Constants!$E$6)</f>
        <v>4.827826428853455</v>
      </c>
      <c r="T29" s="5">
        <f t="shared" si="17"/>
        <v>84.24749783045675</v>
      </c>
      <c r="U29" s="24">
        <f t="shared" si="21"/>
        <v>0.016342476040585897</v>
      </c>
      <c r="V29" s="3">
        <f t="shared" si="11"/>
        <v>59019.45143756484</v>
      </c>
      <c r="W29" s="30">
        <f>V29/(R29*Constants!$D$10*Constants!$D$6+Constants!$E$6*Constants!$E$10*(1-R29))</f>
        <v>59.46577266116924</v>
      </c>
      <c r="X29" s="21">
        <f t="shared" si="18"/>
        <v>15.171101966168607</v>
      </c>
      <c r="Y29" s="21">
        <f t="shared" si="2"/>
        <v>44.29467069500063</v>
      </c>
    </row>
    <row r="30" spans="4:25" ht="12.75">
      <c r="D30" s="3">
        <f t="shared" si="19"/>
        <v>26</v>
      </c>
      <c r="E30" s="30">
        <f t="shared" si="13"/>
        <v>8191.767996650265</v>
      </c>
      <c r="F30" s="30">
        <f t="shared" si="14"/>
        <v>1002.6980787911493</v>
      </c>
      <c r="G30" s="31">
        <f t="shared" si="15"/>
        <v>0.10905451937762586</v>
      </c>
      <c r="H30" s="30">
        <f>$B$10*60*$B$4/(G30*Constants!$D$10*Constants!$D$6+(1-G30)*Constants!$E$6*Constants!$E$10)</f>
        <v>30.46703533760268</v>
      </c>
      <c r="I30" s="24">
        <f t="shared" si="3"/>
        <v>0.5739637335799925</v>
      </c>
      <c r="J30" s="5">
        <f t="shared" si="4"/>
        <v>17.486973353484004</v>
      </c>
      <c r="K30" s="5">
        <f t="shared" si="5"/>
        <v>12.980061984118677</v>
      </c>
      <c r="L30" s="30"/>
      <c r="M30" s="30">
        <f t="shared" si="6"/>
        <v>1935.8902233922724</v>
      </c>
      <c r="N30" s="30">
        <f t="shared" si="7"/>
        <v>1170.950936971056</v>
      </c>
      <c r="O30" s="30">
        <f t="shared" si="0"/>
        <v>3106.8411603633285</v>
      </c>
      <c r="P30" s="31">
        <f t="shared" si="8"/>
        <v>0.3768943684375933</v>
      </c>
      <c r="Q30" s="5">
        <f t="shared" si="9"/>
        <v>84.3292007849304</v>
      </c>
      <c r="R30" s="24">
        <f t="shared" si="20"/>
        <v>0.7433378199521328</v>
      </c>
      <c r="S30" s="5">
        <f>($B$10*$B$4*60)/(P30*O30*Constants!$D$9/Constants!$D$6+(1-P30)*O30*Constants!$E$9/Constants!$E$6)</f>
        <v>4.869263127040695</v>
      </c>
      <c r="T30" s="5">
        <f t="shared" si="17"/>
        <v>84.3292007849304</v>
      </c>
      <c r="U30" s="24">
        <f t="shared" si="21"/>
        <v>0.016779326222879795</v>
      </c>
      <c r="V30" s="3">
        <f t="shared" si="11"/>
        <v>58993.24042662721</v>
      </c>
      <c r="W30" s="30">
        <f>V30/(R30*Constants!$D$10*Constants!$D$6+Constants!$E$6*Constants!$E$10*(1-R30))</f>
        <v>59.29810357541634</v>
      </c>
      <c r="X30" s="21">
        <f t="shared" si="18"/>
        <v>15.219580536370586</v>
      </c>
      <c r="Y30" s="21">
        <f t="shared" si="2"/>
        <v>44.078523039045756</v>
      </c>
    </row>
    <row r="31" spans="4:25" ht="12.75">
      <c r="D31" s="3">
        <f t="shared" si="19"/>
        <v>27</v>
      </c>
      <c r="E31" s="30">
        <f t="shared" si="13"/>
        <v>8178.787934666146</v>
      </c>
      <c r="F31" s="30">
        <f t="shared" si="14"/>
        <v>985.2111054376653</v>
      </c>
      <c r="G31" s="31">
        <f t="shared" si="15"/>
        <v>0.1075088617017691</v>
      </c>
      <c r="H31" s="30">
        <f>$B$10*60*$B$4/(G31*Constants!$D$10*Constants!$D$6+(1-G31)*Constants!$E$6*Constants!$E$10)</f>
        <v>30.43034176587206</v>
      </c>
      <c r="I31" s="24">
        <f t="shared" si="3"/>
        <v>0.5701082544281417</v>
      </c>
      <c r="J31" s="5">
        <f t="shared" si="4"/>
        <v>17.348589025793096</v>
      </c>
      <c r="K31" s="5">
        <f t="shared" si="5"/>
        <v>13.081752740078965</v>
      </c>
      <c r="L31" s="30"/>
      <c r="M31" s="30">
        <f t="shared" si="6"/>
        <v>1933.6507048400206</v>
      </c>
      <c r="N31" s="30">
        <f t="shared" si="7"/>
        <v>1144.3593872854944</v>
      </c>
      <c r="O31" s="30">
        <f t="shared" si="0"/>
        <v>3078.0100921255153</v>
      </c>
      <c r="P31" s="31">
        <f t="shared" si="8"/>
        <v>0.3717854565237175</v>
      </c>
      <c r="Q31" s="5">
        <f t="shared" si="9"/>
        <v>84.41388631709032</v>
      </c>
      <c r="R31" s="24">
        <f t="shared" si="20"/>
        <v>0.7418193193031035</v>
      </c>
      <c r="S31" s="5">
        <f>($B$10*$B$4*60)/(P31*O31*Constants!$D$9/Constants!$D$6+(1-P31)*O31*Constants!$E$9/Constants!$E$6)</f>
        <v>4.911215780217216</v>
      </c>
      <c r="T31" s="5">
        <f t="shared" si="17"/>
        <v>84.41388631709032</v>
      </c>
      <c r="U31" s="24">
        <f t="shared" si="21"/>
        <v>0.017243292893183337</v>
      </c>
      <c r="V31" s="3">
        <f t="shared" si="11"/>
        <v>58965.402426409</v>
      </c>
      <c r="W31" s="30">
        <f>V31/(R31*Constants!$D$10*Constants!$D$6+Constants!$E$6*Constants!$E$10*(1-R31))</f>
        <v>59.13145794036945</v>
      </c>
      <c r="X31" s="21">
        <f t="shared" si="18"/>
        <v>15.266600061644489</v>
      </c>
      <c r="Y31" s="21">
        <f t="shared" si="2"/>
        <v>43.86485787872496</v>
      </c>
    </row>
    <row r="32" spans="4:25" ht="12.75">
      <c r="D32" s="3">
        <f t="shared" si="19"/>
        <v>28</v>
      </c>
      <c r="E32" s="30">
        <f t="shared" si="13"/>
        <v>8165.706181926067</v>
      </c>
      <c r="F32" s="30">
        <f t="shared" si="14"/>
        <v>967.8625164118722</v>
      </c>
      <c r="G32" s="31">
        <f t="shared" si="15"/>
        <v>0.10596761773828851</v>
      </c>
      <c r="H32" s="30">
        <f>$B$10*60*$B$4/(G32*Constants!$D$10*Constants!$D$6+(1-G32)*Constants!$E$6*Constants!$E$10)</f>
        <v>30.393840876157338</v>
      </c>
      <c r="I32" s="24">
        <f t="shared" si="3"/>
        <v>0.5661799994001331</v>
      </c>
      <c r="J32" s="5">
        <f t="shared" si="4"/>
        <v>17.208384809030502</v>
      </c>
      <c r="K32" s="5">
        <f t="shared" si="5"/>
        <v>13.185456067126836</v>
      </c>
      <c r="L32" s="30"/>
      <c r="M32" s="30">
        <f t="shared" si="6"/>
        <v>1931.4658575184549</v>
      </c>
      <c r="N32" s="30">
        <f t="shared" si="7"/>
        <v>1117.8431184325625</v>
      </c>
      <c r="O32" s="30">
        <f t="shared" si="0"/>
        <v>3049.3089759510176</v>
      </c>
      <c r="P32" s="31">
        <f t="shared" si="8"/>
        <v>0.3665889968017852</v>
      </c>
      <c r="Q32" s="5">
        <f t="shared" si="9"/>
        <v>84.50174651809974</v>
      </c>
      <c r="R32" s="24">
        <f t="shared" si="20"/>
        <v>0.7403230211886784</v>
      </c>
      <c r="S32" s="5">
        <f>($B$10*$B$4*60)/(P32*O32*Constants!$D$9/Constants!$D$6+(1-P32)*O32*Constants!$E$9/Constants!$E$6)</f>
        <v>4.953693043403988</v>
      </c>
      <c r="T32" s="5">
        <f t="shared" si="17"/>
        <v>84.50174651809974</v>
      </c>
      <c r="U32" s="24">
        <f t="shared" si="21"/>
        <v>0.017736303044939106</v>
      </c>
      <c r="V32" s="3">
        <f t="shared" si="11"/>
        <v>58935.82181730366</v>
      </c>
      <c r="W32" s="30">
        <f>V32/(R32*Constants!$D$10*Constants!$D$6+Constants!$E$6*Constants!$E$10*(1-R32))</f>
        <v>58.965859126444606</v>
      </c>
      <c r="X32" s="21">
        <f t="shared" si="18"/>
        <v>15.312076150969126</v>
      </c>
      <c r="Y32" s="21">
        <f t="shared" si="2"/>
        <v>43.65378297547548</v>
      </c>
    </row>
    <row r="33" spans="4:25" ht="12.75">
      <c r="D33" s="3">
        <f t="shared" si="19"/>
        <v>29</v>
      </c>
      <c r="E33" s="30">
        <f>E32-K32</f>
        <v>8152.52072585894</v>
      </c>
      <c r="F33" s="30">
        <f>F32-J32</f>
        <v>950.6541316028417</v>
      </c>
      <c r="G33" s="31">
        <f>F33/(F33+E33)</f>
        <v>0.10443105251610102</v>
      </c>
      <c r="H33" s="30">
        <f>$B$10*60*$B$4/(G33*Constants!$D$10*Constants!$D$6+(1-G33)*Constants!$E$6*Constants!$E$10)</f>
        <v>30.357537854347544</v>
      </c>
      <c r="I33" s="24">
        <f t="shared" si="3"/>
        <v>0.562178987142568</v>
      </c>
      <c r="J33" s="5">
        <f t="shared" si="4"/>
        <v>17.06636988309927</v>
      </c>
      <c r="K33" s="5">
        <f t="shared" si="5"/>
        <v>13.291167971248274</v>
      </c>
      <c r="L33" s="30"/>
      <c r="M33" s="30">
        <f t="shared" si="6"/>
        <v>1929.3392374346124</v>
      </c>
      <c r="N33" s="30">
        <f t="shared" si="7"/>
        <v>1091.3977202661176</v>
      </c>
      <c r="O33" s="30">
        <f t="shared" si="0"/>
        <v>3020.7369577007303</v>
      </c>
      <c r="P33" s="31">
        <f t="shared" si="8"/>
        <v>0.3613018066613943</v>
      </c>
      <c r="Q33" s="5">
        <f t="shared" si="9"/>
        <v>84.59298843722935</v>
      </c>
      <c r="R33" s="24">
        <f t="shared" si="20"/>
        <v>0.7388505336458455</v>
      </c>
      <c r="S33" s="5">
        <f>($B$10*$B$4*60)/(P33*O33*Constants!$D$9/Constants!$D$6+(1-P33)*O33*Constants!$E$9/Constants!$E$6)</f>
        <v>4.996703764897088</v>
      </c>
      <c r="T33" s="5">
        <f t="shared" si="17"/>
        <v>84.59298843722935</v>
      </c>
      <c r="U33" s="24">
        <f t="shared" si="21"/>
        <v>0.01826042195469125</v>
      </c>
      <c r="V33" s="3">
        <f t="shared" si="11"/>
        <v>58904.37468271853</v>
      </c>
      <c r="W33" s="30">
        <f>V33/(R33*Constants!$D$10*Constants!$D$6+Constants!$E$6*Constants!$E$10*(1-R33))</f>
        <v>58.80130432568179</v>
      </c>
      <c r="X33" s="21">
        <f t="shared" si="18"/>
        <v>15.355929245580036</v>
      </c>
      <c r="Y33" s="21">
        <f t="shared" si="2"/>
        <v>43.445375080101755</v>
      </c>
    </row>
    <row r="34" spans="4:25" ht="12.75">
      <c r="D34" s="3">
        <f t="shared" si="19"/>
        <v>30</v>
      </c>
      <c r="E34" s="30">
        <f aca="true" t="shared" si="22" ref="E34:E58">E33-K33</f>
        <v>8139.229557887692</v>
      </c>
      <c r="F34" s="30">
        <f aca="true" t="shared" si="23" ref="F34:F58">F33-J33</f>
        <v>933.5877617197425</v>
      </c>
      <c r="G34" s="31">
        <f aca="true" t="shared" si="24" ref="G34:G58">F34/(F34+E34)</f>
        <v>0.10289943342098916</v>
      </c>
      <c r="H34" s="30">
        <f>$B$10*60*$B$4/(G34*Constants!$D$10*Constants!$D$6+(1-G34)*Constants!$E$6*Constants!$E$10)</f>
        <v>30.32143789138483</v>
      </c>
      <c r="I34" s="24">
        <f t="shared" si="3"/>
        <v>0.5581053090347583</v>
      </c>
      <c r="J34" s="5">
        <f t="shared" si="4"/>
        <v>16.92255546474956</v>
      </c>
      <c r="K34" s="5">
        <f t="shared" si="5"/>
        <v>13.398882426635268</v>
      </c>
      <c r="L34" s="30"/>
      <c r="M34" s="30">
        <f t="shared" si="6"/>
        <v>1927.2744761602808</v>
      </c>
      <c r="N34" s="30">
        <f t="shared" si="7"/>
        <v>1065.0187150691152</v>
      </c>
      <c r="O34" s="30">
        <f t="shared" si="0"/>
        <v>2992.293191229396</v>
      </c>
      <c r="P34" s="31">
        <f t="shared" si="8"/>
        <v>0.35592057562766694</v>
      </c>
      <c r="Q34" s="5">
        <f t="shared" si="9"/>
        <v>84.68783528113819</v>
      </c>
      <c r="R34" s="24">
        <f t="shared" si="20"/>
        <v>0.7374032191171511</v>
      </c>
      <c r="S34" s="5">
        <f>($B$10*$B$4*60)/(P34*O34*Constants!$D$9/Constants!$D$6+(1-P34)*O34*Constants!$E$9/Constants!$E$6)</f>
        <v>5.040256953517405</v>
      </c>
      <c r="T34" s="5">
        <f t="shared" si="17"/>
        <v>84.68783528113819</v>
      </c>
      <c r="U34" s="24">
        <f t="shared" si="21"/>
        <v>0.01881785884797998</v>
      </c>
      <c r="V34" s="3">
        <f t="shared" si="11"/>
        <v>58870.92846912121</v>
      </c>
      <c r="W34" s="30">
        <f>V34/(R34*Constants!$D$10*Constants!$D$6+Constants!$E$6*Constants!$E$10*(1-R34))</f>
        <v>58.637758718734794</v>
      </c>
      <c r="X34" s="21">
        <f t="shared" si="18"/>
        <v>15.398086677724962</v>
      </c>
      <c r="Y34" s="21">
        <f t="shared" si="2"/>
        <v>43.23967204100983</v>
      </c>
    </row>
    <row r="35" spans="4:25" ht="12.75">
      <c r="D35" s="3">
        <f t="shared" si="19"/>
        <v>31</v>
      </c>
      <c r="E35" s="30">
        <f t="shared" si="22"/>
        <v>8125.830675461057</v>
      </c>
      <c r="F35" s="30">
        <f t="shared" si="23"/>
        <v>916.665206254993</v>
      </c>
      <c r="G35" s="31">
        <f t="shared" si="24"/>
        <v>0.10137302999589885</v>
      </c>
      <c r="H35" s="30">
        <f>$B$10*60*$B$4/(G35*Constants!$D$10*Constants!$D$6+(1-G35)*Constants!$E$6*Constants!$E$10)</f>
        <v>30.28554617882176</v>
      </c>
      <c r="I35" s="24">
        <f t="shared" si="3"/>
        <v>0.5539591314476335</v>
      </c>
      <c r="J35" s="5">
        <f t="shared" si="4"/>
        <v>16.7769548566373</v>
      </c>
      <c r="K35" s="5">
        <f t="shared" si="5"/>
        <v>13.508591322184461</v>
      </c>
      <c r="L35" s="30"/>
      <c r="M35" s="30">
        <f t="shared" si="6"/>
        <v>1925.2752719091911</v>
      </c>
      <c r="N35" s="30">
        <f t="shared" si="7"/>
        <v>1038.701598492855</v>
      </c>
      <c r="O35" s="30">
        <f t="shared" si="0"/>
        <v>2963.976870402046</v>
      </c>
      <c r="P35" s="31">
        <f t="shared" si="8"/>
        <v>0.3504418704697791</v>
      </c>
      <c r="Q35" s="5">
        <f t="shared" si="9"/>
        <v>84.78652767940703</v>
      </c>
      <c r="R35" s="24">
        <f t="shared" si="20"/>
        <v>0.7359821121847987</v>
      </c>
      <c r="S35" s="5">
        <f>($B$10*$B$4*60)/(P35*O35*Constants!$D$9/Constants!$D$6+(1-P35)*O35*Constants!$E$9/Constants!$E$6)</f>
        <v>5.0843617334878175</v>
      </c>
      <c r="T35" s="5">
        <f t="shared" si="17"/>
        <v>84.78652767940703</v>
      </c>
      <c r="U35" s="24">
        <f t="shared" si="21"/>
        <v>0.019410971020965537</v>
      </c>
      <c r="V35" s="3">
        <f t="shared" si="11"/>
        <v>58835.34173874206</v>
      </c>
      <c r="W35" s="30">
        <f>V35/(R35*Constants!$D$10*Constants!$D$6+Constants!$E$6*Constants!$E$10*(1-R35))</f>
        <v>58.475148560181765</v>
      </c>
      <c r="X35" s="21">
        <f t="shared" si="18"/>
        <v>15.438485212539298</v>
      </c>
      <c r="Y35" s="21">
        <f t="shared" si="2"/>
        <v>43.03666334764247</v>
      </c>
    </row>
    <row r="36" spans="4:25" ht="12.75">
      <c r="D36" s="3">
        <f t="shared" si="19"/>
        <v>32</v>
      </c>
      <c r="E36" s="30">
        <f t="shared" si="22"/>
        <v>8112.322084138872</v>
      </c>
      <c r="F36" s="30">
        <f t="shared" si="23"/>
        <v>899.8882513983557</v>
      </c>
      <c r="G36" s="31">
        <f t="shared" si="24"/>
        <v>0.09985211373173221</v>
      </c>
      <c r="H36" s="30">
        <f>$B$10*60*$B$4/(G36*Constants!$D$10*Constants!$D$6+(1-G36)*Constants!$E$6*Constants!$E$10)</f>
        <v>30.24986790424802</v>
      </c>
      <c r="I36" s="24">
        <f t="shared" si="3"/>
        <v>0.5497406979103308</v>
      </c>
      <c r="J36" s="5">
        <f t="shared" si="4"/>
        <v>16.62958349337662</v>
      </c>
      <c r="K36" s="5">
        <f t="shared" si="5"/>
        <v>13.620284410871399</v>
      </c>
      <c r="L36" s="30"/>
      <c r="M36" s="30">
        <f t="shared" si="6"/>
        <v>1923.3453780188363</v>
      </c>
      <c r="N36" s="30">
        <f t="shared" si="7"/>
        <v>1012.4418900018499</v>
      </c>
      <c r="O36" s="30">
        <f aca="true" t="shared" si="25" ref="O36:O67">SUM(L36:N36)</f>
        <v>2935.787268020686</v>
      </c>
      <c r="P36" s="31">
        <f t="shared" si="8"/>
        <v>0.3448621434632899</v>
      </c>
      <c r="Q36" s="5">
        <f t="shared" si="9"/>
        <v>84.88932500687231</v>
      </c>
      <c r="R36" s="24">
        <f t="shared" si="20"/>
        <v>0.7345878194821376</v>
      </c>
      <c r="S36" s="5">
        <f>($B$10*$B$4*60)/(P36*O36*Constants!$D$9/Constants!$D$6+(1-P36)*O36*Constants!$E$9/Constants!$E$6)</f>
        <v>5.129027283998853</v>
      </c>
      <c r="T36" s="5">
        <f t="shared" si="17"/>
        <v>84.88932500687231</v>
      </c>
      <c r="U36" s="24">
        <f t="shared" si="21"/>
        <v>0.020042265672085915</v>
      </c>
      <c r="V36" s="3">
        <f t="shared" si="11"/>
        <v>58797.46405967484</v>
      </c>
      <c r="W36" s="30">
        <f>V36/(R36*Constants!$D$10*Constants!$D$6+Constants!$E$6*Constants!$E$10*(1-R36))</f>
        <v>58.31335300049958</v>
      </c>
      <c r="X36" s="21">
        <f t="shared" si="18"/>
        <v>15.477074173170429</v>
      </c>
      <c r="Y36" s="21">
        <f aca="true" t="shared" si="26" ref="Y36:Y58">W36*R36</f>
        <v>42.83627882732915</v>
      </c>
    </row>
    <row r="37" spans="4:25" ht="12.75">
      <c r="D37" s="3">
        <f t="shared" si="19"/>
        <v>33</v>
      </c>
      <c r="E37" s="30">
        <f t="shared" si="22"/>
        <v>8098.701799728001</v>
      </c>
      <c r="F37" s="30">
        <f t="shared" si="23"/>
        <v>883.2586679049791</v>
      </c>
      <c r="G37" s="31">
        <f t="shared" si="24"/>
        <v>0.09833695784877404</v>
      </c>
      <c r="H37" s="30">
        <f>$B$10*60*$B$4/(G37*Constants!$D$10*Constants!$D$6+(1-G37)*Constants!$E$6*Constants!$E$10)</f>
        <v>30.214408246591603</v>
      </c>
      <c r="I37" s="24">
        <f t="shared" si="3"/>
        <v>0.5454503311732002</v>
      </c>
      <c r="J37" s="5">
        <f t="shared" si="4"/>
        <v>16.48045898430566</v>
      </c>
      <c r="K37" s="5">
        <f t="shared" si="5"/>
        <v>13.733949262285943</v>
      </c>
      <c r="L37" s="30"/>
      <c r="M37" s="30">
        <f aca="true" t="shared" si="27" ref="M37:M58">M36+K36-X36</f>
        <v>1921.4885882565372</v>
      </c>
      <c r="N37" s="30">
        <f aca="true" t="shared" si="28" ref="N37:N58">N36+J36-Y36</f>
        <v>986.2351946678973</v>
      </c>
      <c r="O37" s="30">
        <f t="shared" si="25"/>
        <v>2907.7237829244345</v>
      </c>
      <c r="P37" s="31">
        <f t="shared" si="8"/>
        <v>0.33917774461919287</v>
      </c>
      <c r="Q37" s="5">
        <f t="shared" si="9"/>
        <v>84.99650674744363</v>
      </c>
      <c r="R37" s="24">
        <f t="shared" si="20"/>
        <v>0.7332203983739873</v>
      </c>
      <c r="S37" s="5">
        <f>($B$10*$B$4*60)/(P37*O37*Constants!$D$9/Constants!$D$6+(1-P37)*O37*Constants!$E$9/Constants!$E$6)</f>
        <v>5.174262759920314</v>
      </c>
      <c r="T37" s="5">
        <f t="shared" si="17"/>
        <v>84.99650674744363</v>
      </c>
      <c r="U37" s="24">
        <f t="shared" si="21"/>
        <v>0.020714398464945973</v>
      </c>
      <c r="V37" s="3">
        <f t="shared" si="11"/>
        <v>58757.13609210325</v>
      </c>
      <c r="W37" s="30">
        <f>V37/(R37*Constants!$D$10*Constants!$D$6+Constants!$E$6*Constants!$E$10*(1-R37))</f>
        <v>58.152194441534945</v>
      </c>
      <c r="X37" s="21">
        <f t="shared" si="18"/>
        <v>15.513819266791124</v>
      </c>
      <c r="Y37" s="21">
        <f t="shared" si="26"/>
        <v>42.63837517474382</v>
      </c>
    </row>
    <row r="38" spans="4:25" ht="12.75">
      <c r="D38" s="3">
        <f t="shared" si="19"/>
        <v>34</v>
      </c>
      <c r="E38" s="30">
        <f t="shared" si="22"/>
        <v>8084.967850465715</v>
      </c>
      <c r="F38" s="30">
        <f t="shared" si="23"/>
        <v>866.7782089206735</v>
      </c>
      <c r="G38" s="31">
        <f t="shared" si="24"/>
        <v>0.09682783706892688</v>
      </c>
      <c r="H38" s="30">
        <f>$B$10*60*$B$4/(G38*Constants!$D$10*Constants!$D$6+(1-G38)*Constants!$E$6*Constants!$E$10)</f>
        <v>30.179172371300794</v>
      </c>
      <c r="I38" s="24">
        <f t="shared" si="3"/>
        <v>0.541088435155846</v>
      </c>
      <c r="J38" s="5">
        <f t="shared" si="4"/>
        <v>16.32960115268569</v>
      </c>
      <c r="K38" s="5">
        <f t="shared" si="5"/>
        <v>13.849571218615104</v>
      </c>
      <c r="L38" s="30"/>
      <c r="M38" s="30">
        <f t="shared" si="27"/>
        <v>1919.708718252032</v>
      </c>
      <c r="N38" s="30">
        <f t="shared" si="28"/>
        <v>960.0772784774591</v>
      </c>
      <c r="O38" s="30">
        <f t="shared" si="25"/>
        <v>2879.785996729491</v>
      </c>
      <c r="P38" s="31">
        <f t="shared" si="8"/>
        <v>0.3333849388696929</v>
      </c>
      <c r="Q38" s="5">
        <f t="shared" si="9"/>
        <v>85.10837387622973</v>
      </c>
      <c r="R38" s="24">
        <f t="shared" si="20"/>
        <v>0.7318792104583727</v>
      </c>
      <c r="S38" s="5">
        <f>($B$10*$B$4*60)/(P38*O38*Constants!$D$9/Constants!$D$6+(1-P38)*O38*Constants!$E$9/Constants!$E$6)</f>
        <v>5.22007718940925</v>
      </c>
      <c r="T38" s="5">
        <f t="shared" si="17"/>
        <v>85.10837387622973</v>
      </c>
      <c r="U38" s="24">
        <f t="shared" si="21"/>
        <v>0.021430167548683664</v>
      </c>
      <c r="V38" s="3">
        <f t="shared" si="11"/>
        <v>58714.18994707898</v>
      </c>
      <c r="W38" s="30">
        <f>V38/(R38*Constants!$D$10*Constants!$D$6+Constants!$E$6*Constants!$E$10*(1-R38))</f>
        <v>57.99142720283843</v>
      </c>
      <c r="X38" s="21">
        <f t="shared" si="18"/>
        <v>15.548707248270844</v>
      </c>
      <c r="Y38" s="21">
        <f t="shared" si="26"/>
        <v>42.442719954567586</v>
      </c>
    </row>
    <row r="39" spans="4:25" ht="12.75">
      <c r="D39" s="3">
        <f t="shared" si="19"/>
        <v>35</v>
      </c>
      <c r="E39" s="30">
        <f t="shared" si="22"/>
        <v>8071.1182792471</v>
      </c>
      <c r="F39" s="30">
        <f t="shared" si="23"/>
        <v>850.4486077679878</v>
      </c>
      <c r="G39" s="31">
        <f t="shared" si="24"/>
        <v>0.0953250273789658</v>
      </c>
      <c r="H39" s="30">
        <f>$B$10*60*$B$4/(G39*Constants!$D$10*Constants!$D$6+(1-G39)*Constants!$E$6*Constants!$E$10)</f>
        <v>30.14416542541323</v>
      </c>
      <c r="I39" s="24">
        <f t="shared" si="3"/>
        <v>0.5366554967687738</v>
      </c>
      <c r="J39" s="5">
        <f t="shared" si="4"/>
        <v>16.177032071055233</v>
      </c>
      <c r="K39" s="5">
        <f t="shared" si="5"/>
        <v>13.967133354357998</v>
      </c>
      <c r="L39" s="30"/>
      <c r="M39" s="30">
        <f t="shared" si="27"/>
        <v>1918.0095822223764</v>
      </c>
      <c r="N39" s="30">
        <f t="shared" si="28"/>
        <v>933.9641596755772</v>
      </c>
      <c r="O39" s="30">
        <f t="shared" si="25"/>
        <v>2851.9737418979535</v>
      </c>
      <c r="P39" s="31">
        <f t="shared" si="8"/>
        <v>0.3274799294098814</v>
      </c>
      <c r="Q39" s="5">
        <f t="shared" si="9"/>
        <v>85.22525022639459</v>
      </c>
      <c r="R39" s="24">
        <f t="shared" si="20"/>
        <v>0.7305627453691135</v>
      </c>
      <c r="S39" s="5">
        <f>($B$10*$B$4*60)/(P39*O39*Constants!$D$9/Constants!$D$6+(1-P39)*O39*Constants!$E$9/Constants!$E$6)</f>
        <v>5.266479343345831</v>
      </c>
      <c r="T39" s="5">
        <f t="shared" si="17"/>
        <v>85.22525022639459</v>
      </c>
      <c r="U39" s="24">
        <f t="shared" si="21"/>
        <v>0.02219250139327539</v>
      </c>
      <c r="V39" s="3">
        <f t="shared" si="11"/>
        <v>58668.44991640348</v>
      </c>
      <c r="W39" s="30">
        <f>V39/(R39*Constants!$D$10*Constants!$D$6+Constants!$E$6*Constants!$E$10*(1-R39))</f>
        <v>57.83072426164835</v>
      </c>
      <c r="X39" s="21">
        <f t="shared" si="18"/>
        <v>15.58175157837433</v>
      </c>
      <c r="Y39" s="21">
        <f t="shared" si="26"/>
        <v>42.24897268327402</v>
      </c>
    </row>
    <row r="40" spans="4:25" ht="12.75">
      <c r="D40" s="3">
        <f t="shared" si="19"/>
        <v>36</v>
      </c>
      <c r="E40" s="30">
        <f t="shared" si="22"/>
        <v>8057.151145892742</v>
      </c>
      <c r="F40" s="30">
        <f t="shared" si="23"/>
        <v>834.2715756969326</v>
      </c>
      <c r="G40" s="31">
        <f t="shared" si="24"/>
        <v>0.09382880578506286</v>
      </c>
      <c r="H40" s="30">
        <f>$B$10*60*$B$4/(G40*Constants!$D$10*Constants!$D$6+(1-G40)*Constants!$E$6*Constants!$E$10)</f>
        <v>30.109392532519458</v>
      </c>
      <c r="I40" s="24">
        <f t="shared" si="3"/>
        <v>0.5321520875972195</v>
      </c>
      <c r="J40" s="5">
        <f t="shared" si="4"/>
        <v>16.022776092464362</v>
      </c>
      <c r="K40" s="5">
        <f t="shared" si="5"/>
        <v>14.086616440055096</v>
      </c>
      <c r="L40" s="30"/>
      <c r="M40" s="30">
        <f t="shared" si="27"/>
        <v>1916.3949639983603</v>
      </c>
      <c r="N40" s="30">
        <f t="shared" si="28"/>
        <v>907.8922190633584</v>
      </c>
      <c r="O40" s="30">
        <f t="shared" si="25"/>
        <v>2824.2871830617187</v>
      </c>
      <c r="P40" s="31">
        <f t="shared" si="8"/>
        <v>0.32145888863863403</v>
      </c>
      <c r="Q40" s="5">
        <f t="shared" si="9"/>
        <v>85.34748379354158</v>
      </c>
      <c r="R40" s="24">
        <f t="shared" si="20"/>
        <v>0.7292684097785473</v>
      </c>
      <c r="S40" s="5">
        <f>($B$10*$B$4*60)/(P40*O40*Constants!$D$9/Constants!$D$6+(1-P40)*O40*Constants!$E$9/Constants!$E$6)</f>
        <v>5.313477570594175</v>
      </c>
      <c r="T40" s="5">
        <f t="shared" si="17"/>
        <v>85.34748379354158</v>
      </c>
      <c r="U40" s="24">
        <f t="shared" si="21"/>
        <v>0.02300443834061831</v>
      </c>
      <c r="V40" s="3">
        <f t="shared" si="11"/>
        <v>58619.7336995629</v>
      </c>
      <c r="W40" s="30">
        <f>V40/(R40*Constants!$D$10*Constants!$D$6+Constants!$E$6*Constants!$E$10*(1-R40))</f>
        <v>57.66966182418334</v>
      </c>
      <c r="X40" s="21">
        <f t="shared" si="18"/>
        <v>15.612999253194559</v>
      </c>
      <c r="Y40" s="21">
        <f t="shared" si="26"/>
        <v>42.056662570988784</v>
      </c>
    </row>
    <row r="41" spans="4:25" ht="12.75">
      <c r="D41" s="3">
        <f t="shared" si="19"/>
        <v>37</v>
      </c>
      <c r="E41" s="30">
        <f t="shared" si="22"/>
        <v>8043.064529452687</v>
      </c>
      <c r="F41" s="30">
        <f t="shared" si="23"/>
        <v>818.2487996044682</v>
      </c>
      <c r="G41" s="31">
        <f t="shared" si="24"/>
        <v>0.09233945005886955</v>
      </c>
      <c r="H41" s="30">
        <f>$B$10*60*$B$4/(G41*Constants!$D$10*Constants!$D$6+(1-G41)*Constants!$E$6*Constants!$E$10)</f>
        <v>30.074858787628603</v>
      </c>
      <c r="I41" s="24">
        <f t="shared" si="3"/>
        <v>0.5275788654358193</v>
      </c>
      <c r="J41" s="5">
        <f t="shared" si="4"/>
        <v>15.866859877319579</v>
      </c>
      <c r="K41" s="5">
        <f t="shared" si="5"/>
        <v>14.207998910309025</v>
      </c>
      <c r="L41" s="30"/>
      <c r="M41" s="30">
        <f t="shared" si="27"/>
        <v>1914.8685811852208</v>
      </c>
      <c r="N41" s="30">
        <f t="shared" si="28"/>
        <v>881.858332584834</v>
      </c>
      <c r="O41" s="30">
        <f t="shared" si="25"/>
        <v>2796.726913770055</v>
      </c>
      <c r="P41" s="31">
        <f t="shared" si="8"/>
        <v>0.31531799842268754</v>
      </c>
      <c r="Q41" s="5">
        <f t="shared" si="9"/>
        <v>85.47544791278119</v>
      </c>
      <c r="R41" s="24">
        <f t="shared" si="20"/>
        <v>0.7279922759576514</v>
      </c>
      <c r="S41" s="5">
        <f>($B$10*$B$4*60)/(P41*O41*Constants!$D$9/Constants!$D$6+(1-P41)*O41*Constants!$E$9/Constants!$E$6)</f>
        <v>5.361079592039574</v>
      </c>
      <c r="T41" s="5">
        <f t="shared" si="17"/>
        <v>85.47544791278119</v>
      </c>
      <c r="U41" s="24">
        <f t="shared" si="21"/>
        <v>0.023869095215376994</v>
      </c>
      <c r="V41" s="3">
        <f t="shared" si="11"/>
        <v>58567.85428707738</v>
      </c>
      <c r="W41" s="30">
        <f>V41/(R41*Constants!$D$10*Constants!$D$6+Constants!$E$6*Constants!$E$10*(1-R41))</f>
        <v>57.50770149674382</v>
      </c>
      <c r="X41" s="21">
        <f t="shared" si="18"/>
        <v>15.642538999036056</v>
      </c>
      <c r="Y41" s="21">
        <f t="shared" si="26"/>
        <v>41.865162497707765</v>
      </c>
    </row>
    <row r="42" spans="4:25" ht="12.75">
      <c r="D42" s="3">
        <f t="shared" si="19"/>
        <v>38</v>
      </c>
      <c r="E42" s="30">
        <f t="shared" si="22"/>
        <v>8028.856530542377</v>
      </c>
      <c r="F42" s="30">
        <f t="shared" si="23"/>
        <v>802.3819397271486</v>
      </c>
      <c r="G42" s="31">
        <f t="shared" si="24"/>
        <v>0.09085723847548421</v>
      </c>
      <c r="H42" s="30">
        <f>$B$10*60*$B$4/(G42*Constants!$D$10*Constants!$D$6+(1-G42)*Constants!$E$6*Constants!$E$10)</f>
        <v>30.04056925194472</v>
      </c>
      <c r="I42" s="24">
        <f t="shared" si="3"/>
        <v>0.5229365756629142</v>
      </c>
      <c r="J42" s="5">
        <f t="shared" si="4"/>
        <v>15.709312415576603</v>
      </c>
      <c r="K42" s="5">
        <f t="shared" si="5"/>
        <v>14.331256836368118</v>
      </c>
      <c r="L42" s="30"/>
      <c r="M42" s="30">
        <f t="shared" si="27"/>
        <v>1913.4340410964937</v>
      </c>
      <c r="N42" s="30">
        <f t="shared" si="28"/>
        <v>855.8600299644459</v>
      </c>
      <c r="O42" s="30">
        <f t="shared" si="25"/>
        <v>2769.2940710609396</v>
      </c>
      <c r="P42" s="31">
        <f t="shared" si="8"/>
        <v>0.3090535017238378</v>
      </c>
      <c r="Q42" s="5">
        <f t="shared" si="9"/>
        <v>85.60954222105474</v>
      </c>
      <c r="R42" s="24">
        <f t="shared" si="20"/>
        <v>0.7267287838200036</v>
      </c>
      <c r="S42" s="5">
        <f>($B$10*$B$4*60)/(P42*O42*Constants!$D$9/Constants!$D$6+(1-P42)*O42*Constants!$E$9/Constants!$E$6)</f>
        <v>5.4092922452154895</v>
      </c>
      <c r="T42" s="5">
        <f t="shared" si="17"/>
        <v>85.60954222105474</v>
      </c>
      <c r="U42" s="24">
        <f t="shared" si="21"/>
        <v>0.024789621672253445</v>
      </c>
      <c r="V42" s="3">
        <f t="shared" si="11"/>
        <v>58512.6226996648</v>
      </c>
      <c r="W42" s="30">
        <f>V42/(R42*Constants!$D$10*Constants!$D$6+Constants!$E$6*Constants!$E$10*(1-R42))</f>
        <v>57.344169861383804</v>
      </c>
      <c r="X42" s="21">
        <f t="shared" si="18"/>
        <v>15.670511038852645</v>
      </c>
      <c r="Y42" s="21">
        <f t="shared" si="26"/>
        <v>41.67365882253116</v>
      </c>
    </row>
    <row r="43" spans="4:25" ht="12.75">
      <c r="D43" s="3">
        <f t="shared" si="19"/>
        <v>39</v>
      </c>
      <c r="E43" s="30">
        <f t="shared" si="22"/>
        <v>8014.525273706009</v>
      </c>
      <c r="F43" s="30">
        <f t="shared" si="23"/>
        <v>786.672627311572</v>
      </c>
      <c r="G43" s="31">
        <f t="shared" si="24"/>
        <v>0.08938244954367155</v>
      </c>
      <c r="H43" s="30">
        <f>$B$10*60*$B$4/(G43*Constants!$D$10*Constants!$D$6+(1-G43)*Constants!$E$6*Constants!$E$10)</f>
        <v>30.00652894756265</v>
      </c>
      <c r="I43" s="24">
        <f t="shared" si="3"/>
        <v>0.5182260524435022</v>
      </c>
      <c r="J43" s="5">
        <f t="shared" si="4"/>
        <v>15.550165044027068</v>
      </c>
      <c r="K43" s="5">
        <f t="shared" si="5"/>
        <v>14.456363903535582</v>
      </c>
      <c r="L43" s="30"/>
      <c r="M43" s="30">
        <f t="shared" si="27"/>
        <v>1912.094786894009</v>
      </c>
      <c r="N43" s="30">
        <f t="shared" si="28"/>
        <v>829.8956835574913</v>
      </c>
      <c r="O43" s="30">
        <f t="shared" si="25"/>
        <v>2741.9904704515</v>
      </c>
      <c r="P43" s="31">
        <f t="shared" si="8"/>
        <v>0.302661767975014</v>
      </c>
      <c r="Q43" s="5">
        <f t="shared" si="9"/>
        <v>85.75019328875372</v>
      </c>
      <c r="R43" s="24">
        <f t="shared" si="20"/>
        <v>0.7254703901679376</v>
      </c>
      <c r="S43" s="5">
        <f>($B$10*$B$4*60)/(P43*O43*Constants!$D$9/Constants!$D$6+(1-P43)*O43*Constants!$E$9/Constants!$E$6)</f>
        <v>5.4581211701431895</v>
      </c>
      <c r="T43" s="5">
        <f t="shared" si="17"/>
        <v>85.75019328875372</v>
      </c>
      <c r="U43" s="24">
        <f t="shared" si="21"/>
        <v>0.025769136176083212</v>
      </c>
      <c r="V43" s="3">
        <f t="shared" si="11"/>
        <v>58453.85182943501</v>
      </c>
      <c r="W43" s="30">
        <f>V43/(R43*Constants!$D$10*Constants!$D$6+Constants!$E$6*Constants!$E$10*(1-R43))</f>
        <v>57.17823533568033</v>
      </c>
      <c r="X43" s="21">
        <f t="shared" si="18"/>
        <v>15.697118637590165</v>
      </c>
      <c r="Y43" s="21">
        <f t="shared" si="26"/>
        <v>41.48111669809016</v>
      </c>
    </row>
    <row r="44" spans="4:25" ht="12.75">
      <c r="D44" s="3">
        <f t="shared" si="19"/>
        <v>40</v>
      </c>
      <c r="E44" s="30">
        <f t="shared" si="22"/>
        <v>8000.068909802473</v>
      </c>
      <c r="F44" s="30">
        <f t="shared" si="23"/>
        <v>771.122462267545</v>
      </c>
      <c r="G44" s="31">
        <f t="shared" si="24"/>
        <v>0.08791536172874069</v>
      </c>
      <c r="H44" s="30">
        <f>$B$10*60*$B$4/(G44*Constants!$D$10*Constants!$D$6+(1-G44)*Constants!$E$6*Constants!$E$10)</f>
        <v>29.97274285209298</v>
      </c>
      <c r="I44" s="24">
        <f t="shared" si="3"/>
        <v>0.513448219750138</v>
      </c>
      <c r="J44" s="5">
        <f t="shared" si="4"/>
        <v>15.389451458435815</v>
      </c>
      <c r="K44" s="5">
        <f t="shared" si="5"/>
        <v>14.583291393657166</v>
      </c>
      <c r="L44" s="30"/>
      <c r="M44" s="30">
        <f t="shared" si="27"/>
        <v>1910.8540321599544</v>
      </c>
      <c r="N44" s="30">
        <f t="shared" si="28"/>
        <v>803.9647319034282</v>
      </c>
      <c r="O44" s="30">
        <f t="shared" si="25"/>
        <v>2714.8187640633823</v>
      </c>
      <c r="P44" s="31">
        <f t="shared" si="8"/>
        <v>0.2961393749541132</v>
      </c>
      <c r="Q44" s="5">
        <f t="shared" si="9"/>
        <v>85.89785476915799</v>
      </c>
      <c r="R44" s="24">
        <f t="shared" si="20"/>
        <v>0.7242071590382384</v>
      </c>
      <c r="S44" s="5">
        <f>($B$10*$B$4*60)/(P44*O44*Constants!$D$9/Constants!$D$6+(1-P44)*O44*Constants!$E$9/Constants!$E$6)</f>
        <v>5.507570425837167</v>
      </c>
      <c r="T44" s="5">
        <f t="shared" si="17"/>
        <v>85.89785476915799</v>
      </c>
      <c r="U44" s="24">
        <f t="shared" si="21"/>
        <v>0.026810638627797825</v>
      </c>
      <c r="V44" s="3">
        <f t="shared" si="11"/>
        <v>58391.36168233213</v>
      </c>
      <c r="W44" s="30">
        <f>V44/(R44*Constants!$D$10*Constants!$D$6+Constants!$E$6*Constants!$E$10*(1-R44))</f>
        <v>57.00888232716432</v>
      </c>
      <c r="X44" s="21">
        <f t="shared" si="18"/>
        <v>15.72264161706341</v>
      </c>
      <c r="Y44" s="21">
        <f t="shared" si="26"/>
        <v>41.28624071010091</v>
      </c>
    </row>
    <row r="45" spans="4:25" ht="12.75">
      <c r="D45" s="3">
        <f t="shared" si="19"/>
        <v>41</v>
      </c>
      <c r="E45" s="30">
        <f t="shared" si="22"/>
        <v>7985.485618408816</v>
      </c>
      <c r="F45" s="30">
        <f t="shared" si="23"/>
        <v>755.7330108091091</v>
      </c>
      <c r="G45" s="31">
        <f t="shared" si="24"/>
        <v>0.08645625316852697</v>
      </c>
      <c r="H45" s="30">
        <f>$B$10*60*$B$4/(G45*Constants!$D$10*Constants!$D$6+(1-G45)*Constants!$E$6*Constants!$E$10)</f>
        <v>29.939215893226333</v>
      </c>
      <c r="I45" s="24">
        <f t="shared" si="3"/>
        <v>0.5086040921914453</v>
      </c>
      <c r="J45" s="5">
        <f t="shared" si="4"/>
        <v>15.22720772029807</v>
      </c>
      <c r="K45" s="5">
        <f t="shared" si="5"/>
        <v>14.712008172928263</v>
      </c>
      <c r="L45" s="30"/>
      <c r="M45" s="30">
        <f t="shared" si="27"/>
        <v>1909.7146819365482</v>
      </c>
      <c r="N45" s="30">
        <f t="shared" si="28"/>
        <v>778.0679426517631</v>
      </c>
      <c r="O45" s="30">
        <f t="shared" si="25"/>
        <v>2687.7826245883116</v>
      </c>
      <c r="P45" s="31">
        <f t="shared" si="8"/>
        <v>0.28948321026181945</v>
      </c>
      <c r="Q45" s="5">
        <f t="shared" si="9"/>
        <v>86.05300687080657</v>
      </c>
      <c r="R45" s="24">
        <f t="shared" si="20"/>
        <v>0.7229262878450804</v>
      </c>
      <c r="S45" s="5">
        <f>($B$10*$B$4*60)/(P45*O45*Constants!$D$9/Constants!$D$6+(1-P45)*O45*Constants!$E$9/Constants!$E$6)</f>
        <v>5.557642025901407</v>
      </c>
      <c r="T45" s="5">
        <f t="shared" si="17"/>
        <v>86.05300687080657</v>
      </c>
      <c r="U45" s="24">
        <f t="shared" si="21"/>
        <v>0.027916893697991947</v>
      </c>
      <c r="V45" s="3">
        <f t="shared" si="11"/>
        <v>58324.98637812048</v>
      </c>
      <c r="W45" s="30">
        <f>V45/(R45*Constants!$D$10*Constants!$D$6+Constants!$E$6*Constants!$E$10*(1-R45))</f>
        <v>56.83488290334322</v>
      </c>
      <c r="X45" s="21">
        <f t="shared" si="18"/>
        <v>15.747451985919483</v>
      </c>
      <c r="Y45" s="21">
        <f t="shared" si="26"/>
        <v>41.08743091742374</v>
      </c>
    </row>
    <row r="46" spans="4:25" ht="12.75">
      <c r="D46" s="3">
        <f t="shared" si="19"/>
        <v>42</v>
      </c>
      <c r="E46" s="30">
        <f t="shared" si="22"/>
        <v>7970.773610235888</v>
      </c>
      <c r="F46" s="30">
        <f t="shared" si="23"/>
        <v>740.505803088811</v>
      </c>
      <c r="G46" s="31">
        <f t="shared" si="24"/>
        <v>0.0850054013829633</v>
      </c>
      <c r="H46" s="30">
        <f>$B$10*60*$B$4/(G46*Constants!$D$10*Constants!$D$6+(1-G46)*Constants!$E$6*Constants!$E$10)</f>
        <v>29.905952943247446</v>
      </c>
      <c r="I46" s="24">
        <f t="shared" si="3"/>
        <v>0.5036947756383472</v>
      </c>
      <c r="J46" s="5">
        <f t="shared" si="4"/>
        <v>15.06347225799999</v>
      </c>
      <c r="K46" s="5">
        <f t="shared" si="5"/>
        <v>14.842480685247455</v>
      </c>
      <c r="L46" s="30"/>
      <c r="M46" s="30">
        <f t="shared" si="27"/>
        <v>1908.679238123557</v>
      </c>
      <c r="N46" s="30">
        <f t="shared" si="28"/>
        <v>752.2077194546375</v>
      </c>
      <c r="O46" s="30">
        <f t="shared" si="25"/>
        <v>2660.8869575781946</v>
      </c>
      <c r="P46" s="31">
        <f t="shared" si="8"/>
        <v>0.28269059582270234</v>
      </c>
      <c r="Q46" s="5">
        <f t="shared" si="9"/>
        <v>86.21615490604773</v>
      </c>
      <c r="R46" s="24">
        <f t="shared" si="20"/>
        <v>0.721611565763066</v>
      </c>
      <c r="S46" s="5">
        <f>($B$10*$B$4*60)/(P46*O46*Constants!$D$9/Constants!$D$6+(1-P46)*O46*Constants!$E$9/Constants!$E$6)</f>
        <v>5.608335380942734</v>
      </c>
      <c r="T46" s="5">
        <f t="shared" si="17"/>
        <v>86.21615490604773</v>
      </c>
      <c r="U46" s="24">
        <f t="shared" si="21"/>
        <v>0.029090277980797198</v>
      </c>
      <c r="V46" s="3">
        <f t="shared" si="11"/>
        <v>58254.58332115217</v>
      </c>
      <c r="W46" s="30">
        <f>V46/(R46*Constants!$D$10*Constants!$D$6+Constants!$E$6*Constants!$E$10*(1-R46))</f>
        <v>56.65476651697013</v>
      </c>
      <c r="X46" s="21">
        <f t="shared" si="18"/>
        <v>15.77203174271839</v>
      </c>
      <c r="Y46" s="21">
        <f t="shared" si="26"/>
        <v>40.88273477425174</v>
      </c>
    </row>
    <row r="47" spans="4:25" ht="12.75">
      <c r="D47" s="3">
        <f t="shared" si="19"/>
        <v>43</v>
      </c>
      <c r="E47" s="30">
        <f t="shared" si="22"/>
        <v>7955.93112955064</v>
      </c>
      <c r="F47" s="30">
        <f t="shared" si="23"/>
        <v>725.442330830811</v>
      </c>
      <c r="G47" s="31">
        <f t="shared" si="24"/>
        <v>0.08356308297776371</v>
      </c>
      <c r="H47" s="30">
        <f>$B$10*60*$B$4/(G47*Constants!$D$10*Constants!$D$6+(1-G47)*Constants!$E$6*Constants!$E$10)</f>
        <v>29.872958813510404</v>
      </c>
      <c r="I47" s="24">
        <f t="shared" si="3"/>
        <v>0.4987214676386401</v>
      </c>
      <c r="J47" s="5">
        <f t="shared" si="4"/>
        <v>14.898285862182558</v>
      </c>
      <c r="K47" s="5">
        <f t="shared" si="5"/>
        <v>14.974672951327847</v>
      </c>
      <c r="L47" s="30"/>
      <c r="M47" s="30">
        <f t="shared" si="27"/>
        <v>1907.7496870660862</v>
      </c>
      <c r="N47" s="30">
        <f t="shared" si="28"/>
        <v>726.3884569383858</v>
      </c>
      <c r="O47" s="30">
        <f t="shared" si="25"/>
        <v>2634.138144004472</v>
      </c>
      <c r="P47" s="31">
        <f t="shared" si="8"/>
        <v>0.2757594390376637</v>
      </c>
      <c r="Q47" s="5">
        <f t="shared" si="9"/>
        <v>86.38782660886874</v>
      </c>
      <c r="R47" s="24">
        <f t="shared" si="20"/>
        <v>0.7202427639133766</v>
      </c>
      <c r="S47" s="5">
        <f>($B$10*$B$4*60)/(P47*O47*Constants!$D$9/Constants!$D$6+(1-P47)*O47*Constants!$E$9/Constants!$E$6)</f>
        <v>5.659646635436138</v>
      </c>
      <c r="T47" s="5">
        <f t="shared" si="17"/>
        <v>86.38782660886874</v>
      </c>
      <c r="U47" s="24">
        <f t="shared" si="21"/>
        <v>0.030332583265204528</v>
      </c>
      <c r="V47" s="3">
        <f t="shared" si="11"/>
        <v>58180.04500408773</v>
      </c>
      <c r="W47" s="30">
        <f>V47/(R47*Constants!$D$10*Constants!$D$6+Constants!$E$6*Constants!$E$10*(1-R47))</f>
        <v>56.46678878723985</v>
      </c>
      <c r="X47" s="21">
        <f t="shared" si="18"/>
        <v>15.796992761805356</v>
      </c>
      <c r="Y47" s="21">
        <f t="shared" si="26"/>
        <v>40.66979602543449</v>
      </c>
    </row>
    <row r="48" spans="4:25" ht="12.75">
      <c r="D48" s="3">
        <f t="shared" si="19"/>
        <v>44</v>
      </c>
      <c r="E48" s="30">
        <f t="shared" si="22"/>
        <v>7940.956456599312</v>
      </c>
      <c r="F48" s="30">
        <f t="shared" si="23"/>
        <v>710.5440449686284</v>
      </c>
      <c r="G48" s="31">
        <f t="shared" si="24"/>
        <v>0.08212957334278072</v>
      </c>
      <c r="H48" s="30">
        <f>$B$10*60*$B$4/(G48*Constants!$D$10*Constants!$D$6+(1-G48)*Constants!$E$6*Constants!$E$10)</f>
        <v>29.84023824888653</v>
      </c>
      <c r="I48" s="24">
        <f t="shared" si="3"/>
        <v>0.49368545761113314</v>
      </c>
      <c r="J48" s="5">
        <f t="shared" si="4"/>
        <v>14.731691675126784</v>
      </c>
      <c r="K48" s="5">
        <f t="shared" si="5"/>
        <v>15.108546573759744</v>
      </c>
      <c r="L48" s="30"/>
      <c r="M48" s="30">
        <f t="shared" si="27"/>
        <v>1906.9273672556087</v>
      </c>
      <c r="N48" s="30">
        <f t="shared" si="28"/>
        <v>700.6169467751339</v>
      </c>
      <c r="O48" s="30">
        <f t="shared" si="25"/>
        <v>2607.5443140307425</v>
      </c>
      <c r="P48" s="31">
        <f t="shared" si="8"/>
        <v>0.2686884142314422</v>
      </c>
      <c r="Q48" s="5">
        <f t="shared" si="9"/>
        <v>86.56856784817013</v>
      </c>
      <c r="R48" s="24">
        <f t="shared" si="20"/>
        <v>0.7187949619598637</v>
      </c>
      <c r="S48" s="5">
        <f>($B$10*$B$4*60)/(P48*O48*Constants!$D$9/Constants!$D$6+(1-P48)*O48*Constants!$E$9/Constants!$E$6)</f>
        <v>5.711567887587652</v>
      </c>
      <c r="T48" s="5">
        <f t="shared" si="17"/>
        <v>86.56856784817013</v>
      </c>
      <c r="U48" s="24">
        <f t="shared" si="21"/>
        <v>0.03164476775180831</v>
      </c>
      <c r="V48" s="3">
        <f t="shared" si="11"/>
        <v>58101.3139348915</v>
      </c>
      <c r="W48" s="30">
        <f>V48/(R48*Constants!$D$10*Constants!$D$6+Constants!$E$6*Constants!$E$10*(1-R48))</f>
        <v>56.26890097748117</v>
      </c>
      <c r="X48" s="21">
        <f t="shared" si="18"/>
        <v>15.823098439849254</v>
      </c>
      <c r="Y48" s="21">
        <f t="shared" si="26"/>
        <v>40.44580253763191</v>
      </c>
    </row>
    <row r="49" spans="4:25" ht="12.75">
      <c r="D49" s="3">
        <f t="shared" si="19"/>
        <v>45</v>
      </c>
      <c r="E49" s="30">
        <f t="shared" si="22"/>
        <v>7925.847910025553</v>
      </c>
      <c r="F49" s="30">
        <f t="shared" si="23"/>
        <v>695.8123532935017</v>
      </c>
      <c r="G49" s="31">
        <f t="shared" si="24"/>
        <v>0.08070514634563401</v>
      </c>
      <c r="H49" s="30">
        <f>$B$10*60*$B$4/(G49*Constants!$D$10*Constants!$D$6+(1-G49)*Constants!$E$6*Constants!$E$10)</f>
        <v>29.807795922197172</v>
      </c>
      <c r="I49" s="24">
        <f t="shared" si="3"/>
        <v>0.48858812681125413</v>
      </c>
      <c r="J49" s="5">
        <f t="shared" si="4"/>
        <v>14.563735173998456</v>
      </c>
      <c r="K49" s="5">
        <f t="shared" si="5"/>
        <v>15.244060748198716</v>
      </c>
      <c r="L49" s="30"/>
      <c r="M49" s="30">
        <f t="shared" si="27"/>
        <v>1906.2128153895192</v>
      </c>
      <c r="N49" s="30">
        <f t="shared" si="28"/>
        <v>674.9028359126287</v>
      </c>
      <c r="O49" s="30">
        <f t="shared" si="25"/>
        <v>2581.115651302148</v>
      </c>
      <c r="P49" s="31">
        <f t="shared" si="8"/>
        <v>0.2614771777359712</v>
      </c>
      <c r="Q49" s="5">
        <f t="shared" si="9"/>
        <v>86.75893629256525</v>
      </c>
      <c r="R49" s="24">
        <f t="shared" si="20"/>
        <v>0.7172378233497616</v>
      </c>
      <c r="S49" s="5">
        <f>($B$10*$B$4*60)/(P49*O49*Constants!$D$9/Constants!$D$6+(1-P49)*O49*Constants!$E$9/Constants!$E$6)</f>
        <v>5.764086283188823</v>
      </c>
      <c r="T49" s="5">
        <f t="shared" si="17"/>
        <v>86.75893629256525</v>
      </c>
      <c r="U49" s="24">
        <f t="shared" si="21"/>
        <v>0.033026647250291176</v>
      </c>
      <c r="V49" s="3">
        <f t="shared" si="11"/>
        <v>58018.40116498253</v>
      </c>
      <c r="W49" s="30">
        <f>V49/(R49*Constants!$D$10*Constants!$D$6+Constants!$E$6*Constants!$E$10*(1-R49))</f>
        <v>56.05872266143469</v>
      </c>
      <c r="X49" s="21">
        <f t="shared" si="18"/>
        <v>15.851286439979319</v>
      </c>
      <c r="Y49" s="21">
        <f t="shared" si="26"/>
        <v>40.207436221455374</v>
      </c>
    </row>
    <row r="50" spans="4:25" ht="12.75">
      <c r="D50" s="3">
        <f t="shared" si="19"/>
        <v>46</v>
      </c>
      <c r="E50" s="30">
        <f t="shared" si="22"/>
        <v>7910.603849277354</v>
      </c>
      <c r="F50" s="30">
        <f t="shared" si="23"/>
        <v>681.2486181195032</v>
      </c>
      <c r="G50" s="31">
        <f t="shared" si="24"/>
        <v>0.07929007402124383</v>
      </c>
      <c r="H50" s="30">
        <f>$B$10*60*$B$4/(G50*Constants!$D$10*Constants!$D$6+(1-G50)*Constants!$E$6*Constants!$E$10)</f>
        <v>29.77563642864384</v>
      </c>
      <c r="I50" s="24">
        <f t="shared" si="3"/>
        <v>0.4834309480607694</v>
      </c>
      <c r="J50" s="5">
        <f t="shared" si="4"/>
        <v>14.394464147812073</v>
      </c>
      <c r="K50" s="5">
        <f t="shared" si="5"/>
        <v>15.381172280831766</v>
      </c>
      <c r="L50" s="30"/>
      <c r="M50" s="30">
        <f t="shared" si="27"/>
        <v>1905.6055896977387</v>
      </c>
      <c r="N50" s="30">
        <f t="shared" si="28"/>
        <v>649.2591348651717</v>
      </c>
      <c r="O50" s="30">
        <f t="shared" si="25"/>
        <v>2554.8647245629104</v>
      </c>
      <c r="P50" s="31">
        <f t="shared" si="8"/>
        <v>0.2541266191603345</v>
      </c>
      <c r="Q50" s="5">
        <f t="shared" si="9"/>
        <v>86.95949251645948</v>
      </c>
      <c r="R50" s="24">
        <f t="shared" si="20"/>
        <v>0.7155348423778909</v>
      </c>
      <c r="S50" s="5">
        <f>($B$10*$B$4*60)/(P50*O50*Constants!$D$9/Constants!$D$6+(1-P50)*O50*Constants!$E$9/Constants!$E$6)</f>
        <v>5.817182979136174</v>
      </c>
      <c r="T50" s="5">
        <f t="shared" si="17"/>
        <v>86.95949251645948</v>
      </c>
      <c r="U50" s="24">
        <f t="shared" si="21"/>
        <v>0.03447651975424132</v>
      </c>
      <c r="V50" s="3">
        <f t="shared" si="11"/>
        <v>57931.40881474552</v>
      </c>
      <c r="W50" s="30">
        <f>V50/(R50*Constants!$D$10*Constants!$D$6+Constants!$E$6*Constants!$E$10*(1-R50))</f>
        <v>55.833521151011155</v>
      </c>
      <c r="X50" s="21">
        <f t="shared" si="18"/>
        <v>15.882691394819751</v>
      </c>
      <c r="Y50" s="21">
        <f t="shared" si="26"/>
        <v>39.9508297561914</v>
      </c>
    </row>
    <row r="51" spans="4:25" ht="12.75">
      <c r="D51" s="3">
        <f t="shared" si="19"/>
        <v>47</v>
      </c>
      <c r="E51" s="30">
        <f t="shared" si="22"/>
        <v>7895.222676996523</v>
      </c>
      <c r="F51" s="30">
        <f t="shared" si="23"/>
        <v>666.8541539716912</v>
      </c>
      <c r="G51" s="31">
        <f t="shared" si="24"/>
        <v>0.07788462625793587</v>
      </c>
      <c r="H51" s="30">
        <f>$B$10*60*$B$4/(G51*Constants!$D$10*Constants!$D$6+(1-G51)*Constants!$E$6*Constants!$E$10)</f>
        <v>29.743764280248627</v>
      </c>
      <c r="I51" s="24">
        <f t="shared" si="3"/>
        <v>0.47821548523509977</v>
      </c>
      <c r="J51" s="5">
        <f t="shared" si="4"/>
        <v>14.223928667997525</v>
      </c>
      <c r="K51" s="5">
        <f t="shared" si="5"/>
        <v>15.519835612251102</v>
      </c>
      <c r="L51" s="30"/>
      <c r="M51" s="30">
        <f t="shared" si="27"/>
        <v>1905.1040705837506</v>
      </c>
      <c r="N51" s="30">
        <f t="shared" si="28"/>
        <v>623.7027692567924</v>
      </c>
      <c r="O51" s="30">
        <f t="shared" si="25"/>
        <v>2528.806839840543</v>
      </c>
      <c r="P51" s="31">
        <f t="shared" si="8"/>
        <v>0.24663914990680771</v>
      </c>
      <c r="Q51" s="5">
        <f t="shared" si="9"/>
        <v>87.17078798614784</v>
      </c>
      <c r="R51" s="24">
        <f t="shared" si="20"/>
        <v>0.7136426012175456</v>
      </c>
      <c r="S51" s="5">
        <f>($B$10*$B$4*60)/(P51*O51*Constants!$D$9/Constants!$D$6+(1-P51)*O51*Constants!$E$9/Constants!$E$6)</f>
        <v>5.870831980040108</v>
      </c>
      <c r="T51" s="5">
        <f t="shared" si="17"/>
        <v>87.17078798614784</v>
      </c>
      <c r="U51" s="24">
        <f t="shared" si="21"/>
        <v>0.03599071995361767</v>
      </c>
      <c r="V51" s="3">
        <f t="shared" si="11"/>
        <v>57840.556802782936</v>
      </c>
      <c r="W51" s="30">
        <f>V51/(R51*Constants!$D$10*Constants!$D$6+Constants!$E$6*Constants!$E$10*(1-R51))</f>
        <v>55.59020255192667</v>
      </c>
      <c r="X51" s="21">
        <f t="shared" si="18"/>
        <v>15.91866580055948</v>
      </c>
      <c r="Y51" s="21">
        <f t="shared" si="26"/>
        <v>39.67153675136719</v>
      </c>
    </row>
    <row r="52" spans="4:25" ht="12.75">
      <c r="D52" s="3">
        <f t="shared" si="19"/>
        <v>48</v>
      </c>
      <c r="E52" s="30">
        <f t="shared" si="22"/>
        <v>7879.702841384272</v>
      </c>
      <c r="F52" s="30">
        <f t="shared" si="23"/>
        <v>652.6302253036937</v>
      </c>
      <c r="G52" s="31">
        <f t="shared" si="24"/>
        <v>0.07648907048081612</v>
      </c>
      <c r="H52" s="30">
        <f>$B$10*60*$B$4/(G52*Constants!$D$10*Constants!$D$6+(1-G52)*Constants!$E$6*Constants!$E$10)</f>
        <v>29.712183900318216</v>
      </c>
      <c r="I52" s="24">
        <f t="shared" si="3"/>
        <v>0.47294339250260486</v>
      </c>
      <c r="J52" s="5">
        <f t="shared" si="4"/>
        <v>14.052181052477776</v>
      </c>
      <c r="K52" s="5">
        <f t="shared" si="5"/>
        <v>15.66000284784044</v>
      </c>
      <c r="L52" s="30"/>
      <c r="M52" s="30">
        <f t="shared" si="27"/>
        <v>1904.7052403954424</v>
      </c>
      <c r="N52" s="30">
        <f t="shared" si="28"/>
        <v>598.2551611734227</v>
      </c>
      <c r="O52" s="30">
        <f t="shared" si="25"/>
        <v>2502.960401568865</v>
      </c>
      <c r="P52" s="31">
        <f t="shared" si="8"/>
        <v>0.23901902754771273</v>
      </c>
      <c r="Q52" s="5">
        <f t="shared" si="9"/>
        <v>87.39334934664197</v>
      </c>
      <c r="R52" s="24">
        <f t="shared" si="20"/>
        <v>0.7115100945289852</v>
      </c>
      <c r="S52" s="5">
        <f>($B$10*$B$4*60)/(P52*O52*Constants!$D$9/Constants!$D$6+(1-P52)*O52*Constants!$E$9/Constants!$E$6)</f>
        <v>5.924998863106054</v>
      </c>
      <c r="T52" s="5">
        <f t="shared" si="17"/>
        <v>87.39334934664197</v>
      </c>
      <c r="U52" s="24">
        <f t="shared" si="21"/>
        <v>0.037563106025214135</v>
      </c>
      <c r="V52" s="3">
        <f t="shared" si="11"/>
        <v>57746.21363848715</v>
      </c>
      <c r="W52" s="30">
        <f>V52/(R52*Constants!$D$10*Constants!$D$6+Constants!$E$6*Constants!$E$10*(1-R52))</f>
        <v>55.32532074069797</v>
      </c>
      <c r="X52" s="21">
        <f t="shared" si="18"/>
        <v>15.960796550637532</v>
      </c>
      <c r="Y52" s="21">
        <f t="shared" si="26"/>
        <v>39.364524190060436</v>
      </c>
    </row>
    <row r="53" spans="4:25" ht="12.75">
      <c r="D53" s="3">
        <f t="shared" si="19"/>
        <v>49</v>
      </c>
      <c r="E53" s="30">
        <f t="shared" si="22"/>
        <v>7864.042838536431</v>
      </c>
      <c r="F53" s="30">
        <f t="shared" si="23"/>
        <v>638.5780442512159</v>
      </c>
      <c r="G53" s="31">
        <f t="shared" si="24"/>
        <v>0.07510367133314468</v>
      </c>
      <c r="H53" s="30">
        <f>$B$10*60*$B$4/(G53*Constants!$D$10*Constants!$D$6+(1-G53)*Constants!$E$6*Constants!$E$10)</f>
        <v>29.680899617945006</v>
      </c>
      <c r="I53" s="24">
        <f t="shared" si="3"/>
        <v>0.46761641331118375</v>
      </c>
      <c r="J53" s="5">
        <f t="shared" si="4"/>
        <v>13.879275823192728</v>
      </c>
      <c r="K53" s="5">
        <f t="shared" si="5"/>
        <v>15.801623794752278</v>
      </c>
      <c r="L53" s="30"/>
      <c r="M53" s="30">
        <f t="shared" si="27"/>
        <v>1904.4044466926453</v>
      </c>
      <c r="N53" s="30">
        <f t="shared" si="28"/>
        <v>572.94281803584</v>
      </c>
      <c r="O53" s="30">
        <f t="shared" si="25"/>
        <v>2477.3472647284852</v>
      </c>
      <c r="P53" s="31">
        <f t="shared" si="8"/>
        <v>0.2312727110135825</v>
      </c>
      <c r="Q53" s="5">
        <f t="shared" si="9"/>
        <v>87.62765846991563</v>
      </c>
      <c r="R53" s="24">
        <f t="shared" si="20"/>
        <v>0.7090782031689358</v>
      </c>
      <c r="S53" s="5">
        <f>($B$10*$B$4*60)/(P53*O53*Constants!$D$9/Constants!$D$6+(1-P53)*O53*Constants!$E$9/Constants!$E$6)</f>
        <v>5.979639423131401</v>
      </c>
      <c r="T53" s="5">
        <f t="shared" si="17"/>
        <v>87.62765846991563</v>
      </c>
      <c r="U53" s="24">
        <f t="shared" si="21"/>
        <v>0.03918449035024905</v>
      </c>
      <c r="V53" s="3">
        <f t="shared" si="11"/>
        <v>57648.930578985055</v>
      </c>
      <c r="W53" s="30">
        <f>V53/(R53*Constants!$D$10*Constants!$D$6+Constants!$E$6*Constants!$E$10*(1-R53))</f>
        <v>55.035111938395644</v>
      </c>
      <c r="X53" s="21">
        <f t="shared" si="18"/>
        <v>16.010913653916816</v>
      </c>
      <c r="Y53" s="21">
        <f t="shared" si="26"/>
        <v>39.02419828447883</v>
      </c>
    </row>
    <row r="54" spans="4:25" ht="12.75">
      <c r="D54" s="3">
        <f t="shared" si="19"/>
        <v>50</v>
      </c>
      <c r="E54" s="30">
        <f t="shared" si="22"/>
        <v>7848.241214741679</v>
      </c>
      <c r="F54" s="30">
        <f t="shared" si="23"/>
        <v>624.6987684280232</v>
      </c>
      <c r="G54" s="31">
        <f t="shared" si="24"/>
        <v>0.07372869035646411</v>
      </c>
      <c r="H54" s="30">
        <f>$B$10*60*$B$4/(G54*Constants!$D$10*Constants!$D$6+(1-G54)*Constants!$E$6*Constants!$E$10)</f>
        <v>29.649915662559085</v>
      </c>
      <c r="I54" s="24">
        <f t="shared" si="3"/>
        <v>0.46223637911856774</v>
      </c>
      <c r="J54" s="5">
        <f t="shared" si="4"/>
        <v>13.70526965703222</v>
      </c>
      <c r="K54" s="5">
        <f t="shared" si="5"/>
        <v>15.944646005526865</v>
      </c>
      <c r="L54" s="30"/>
      <c r="M54" s="30">
        <f t="shared" si="27"/>
        <v>1904.1951568334807</v>
      </c>
      <c r="N54" s="30">
        <f t="shared" si="28"/>
        <v>547.7978955745539</v>
      </c>
      <c r="O54" s="30">
        <f t="shared" si="25"/>
        <v>2451.9930524080346</v>
      </c>
      <c r="P54" s="31">
        <f t="shared" si="8"/>
        <v>0.2234092364317985</v>
      </c>
      <c r="Q54" s="5">
        <f t="shared" si="9"/>
        <v>87.87412785581816</v>
      </c>
      <c r="R54" s="24">
        <f t="shared" si="20"/>
        <v>0.7062794258067706</v>
      </c>
      <c r="S54" s="5">
        <f>($B$10*$B$4*60)/(P54*O54*Constants!$D$9/Constants!$D$6+(1-P54)*O54*Constants!$E$9/Constants!$E$6)</f>
        <v>6.0346982916307095</v>
      </c>
      <c r="T54" s="5">
        <f t="shared" si="17"/>
        <v>87.87412785581816</v>
      </c>
      <c r="U54" s="24">
        <f t="shared" si="21"/>
        <v>0.04084203948428503</v>
      </c>
      <c r="V54" s="3">
        <f t="shared" si="11"/>
        <v>57549.4776309429</v>
      </c>
      <c r="W54" s="30">
        <f>V54/(R54*Constants!$D$10*Constants!$D$6+Constants!$E$6*Constants!$E$10*(1-R54))</f>
        <v>54.715563574225875</v>
      </c>
      <c r="X54" s="21">
        <f t="shared" si="18"/>
        <v>16.071086750327773</v>
      </c>
      <c r="Y54" s="21">
        <f t="shared" si="26"/>
        <v>38.6444768238981</v>
      </c>
    </row>
    <row r="55" spans="4:25" ht="12.75">
      <c r="D55" s="3">
        <f t="shared" si="19"/>
        <v>51</v>
      </c>
      <c r="E55" s="30">
        <f t="shared" si="22"/>
        <v>7832.296568736152</v>
      </c>
      <c r="F55" s="30">
        <f t="shared" si="23"/>
        <v>610.993498770991</v>
      </c>
      <c r="G55" s="31">
        <f t="shared" si="24"/>
        <v>0.07236438567026338</v>
      </c>
      <c r="H55" s="30">
        <f>$B$10*60*$B$4/(G55*Constants!$D$10*Constants!$D$6+(1-G55)*Constants!$E$6*Constants!$E$10)</f>
        <v>29.619236158545142</v>
      </c>
      <c r="I55" s="24">
        <f t="shared" si="3"/>
        <v>0.45680520786377155</v>
      </c>
      <c r="J55" s="5">
        <f t="shared" si="4"/>
        <v>13.530221330170352</v>
      </c>
      <c r="K55" s="5">
        <f t="shared" si="5"/>
        <v>16.08901482837479</v>
      </c>
      <c r="L55" s="30"/>
      <c r="M55" s="30">
        <f t="shared" si="27"/>
        <v>1904.0687160886798</v>
      </c>
      <c r="N55" s="30">
        <f t="shared" si="28"/>
        <v>522.858688407688</v>
      </c>
      <c r="O55" s="30">
        <f t="shared" si="25"/>
        <v>2426.9274044963677</v>
      </c>
      <c r="P55" s="31">
        <f t="shared" si="8"/>
        <v>0.21544059679699848</v>
      </c>
      <c r="Q55" s="5">
        <f t="shared" si="9"/>
        <v>88.13307123624304</v>
      </c>
      <c r="R55" s="24">
        <f t="shared" si="20"/>
        <v>0.703038005197705</v>
      </c>
      <c r="S55" s="5">
        <f>($B$10*$B$4*60)/(P55*O55*Constants!$D$9/Constants!$D$6+(1-P55)*O55*Constants!$E$9/Constants!$E$6)</f>
        <v>6.090107611694203</v>
      </c>
      <c r="T55" s="5">
        <f t="shared" si="17"/>
        <v>88.13307123624304</v>
      </c>
      <c r="U55" s="24">
        <f t="shared" si="21"/>
        <v>0.04251868717847598</v>
      </c>
      <c r="V55" s="3">
        <f t="shared" si="11"/>
        <v>57448.87876929144</v>
      </c>
      <c r="W55" s="30">
        <f>V55/(R55*Constants!$D$10*Constants!$D$6+Constants!$E$6*Constants!$E$10*(1-R55))</f>
        <v>54.362526296063294</v>
      </c>
      <c r="X55" s="21">
        <f t="shared" si="18"/>
        <v>16.143604251371173</v>
      </c>
      <c r="Y55" s="21">
        <f t="shared" si="26"/>
        <v>38.21892204469212</v>
      </c>
    </row>
    <row r="56" spans="4:25" ht="12.75">
      <c r="D56" s="3">
        <f t="shared" si="19"/>
        <v>52</v>
      </c>
      <c r="E56" s="30">
        <f t="shared" si="22"/>
        <v>7816.207553907777</v>
      </c>
      <c r="F56" s="30">
        <f t="shared" si="23"/>
        <v>597.4632774408207</v>
      </c>
      <c r="G56" s="31">
        <f t="shared" si="24"/>
        <v>0.07101101165198014</v>
      </c>
      <c r="H56" s="30">
        <f>$B$10*60*$B$4/(G56*Constants!$D$10*Constants!$D$6+(1-G56)*Constants!$E$6*Constants!$E$10)</f>
        <v>29.58886511993839</v>
      </c>
      <c r="I56" s="24">
        <f t="shared" si="3"/>
        <v>0.45132490217831744</v>
      </c>
      <c r="J56" s="5">
        <f t="shared" si="4"/>
        <v>13.354191655823623</v>
      </c>
      <c r="K56" s="5">
        <f t="shared" si="5"/>
        <v>16.234673464114767</v>
      </c>
      <c r="L56" s="30"/>
      <c r="M56" s="30">
        <f t="shared" si="27"/>
        <v>1904.0141266656833</v>
      </c>
      <c r="N56" s="30">
        <f t="shared" si="28"/>
        <v>498.16998769316615</v>
      </c>
      <c r="O56" s="30">
        <f t="shared" si="25"/>
        <v>2402.1841143588495</v>
      </c>
      <c r="P56" s="31">
        <f t="shared" si="8"/>
        <v>0.20738210061227105</v>
      </c>
      <c r="Q56" s="5">
        <f t="shared" si="9"/>
        <v>88.40466965942623</v>
      </c>
      <c r="R56" s="24">
        <f t="shared" si="20"/>
        <v>0.6992706094717742</v>
      </c>
      <c r="S56" s="5">
        <f>($B$10*$B$4*60)/(P56*O56*Constants!$D$9/Constants!$D$6+(1-P56)*O56*Constants!$E$9/Constants!$E$6)</f>
        <v>6.145785881866882</v>
      </c>
      <c r="T56" s="5">
        <f t="shared" si="17"/>
        <v>88.40466965942623</v>
      </c>
      <c r="U56" s="24">
        <f t="shared" si="21"/>
        <v>0.044192627013665185</v>
      </c>
      <c r="V56" s="3">
        <f t="shared" si="11"/>
        <v>57348.44237918009</v>
      </c>
      <c r="W56" s="30">
        <f>V56/(R56*Constants!$D$10*Constants!$D$6+Constants!$E$6*Constants!$E$10*(1-R56))</f>
        <v>53.97187664298105</v>
      </c>
      <c r="X56" s="21">
        <f t="shared" si="18"/>
        <v>16.230929568508273</v>
      </c>
      <c r="Y56" s="21">
        <f t="shared" si="26"/>
        <v>37.74094707447278</v>
      </c>
    </row>
    <row r="57" spans="4:25" ht="12.75">
      <c r="D57" s="3">
        <f t="shared" si="19"/>
        <v>53</v>
      </c>
      <c r="E57" s="30">
        <f t="shared" si="22"/>
        <v>7799.972880443662</v>
      </c>
      <c r="F57" s="30">
        <f t="shared" si="23"/>
        <v>584.1090857849971</v>
      </c>
      <c r="G57" s="31">
        <f t="shared" si="24"/>
        <v>0.06966881861816314</v>
      </c>
      <c r="H57" s="30">
        <f>$B$10*60*$B$4/(G57*Constants!$D$10*Constants!$D$6+(1-G57)*Constants!$E$6*Constants!$E$10)</f>
        <v>29.558806445213676</v>
      </c>
      <c r="I57" s="24">
        <f t="shared" si="3"/>
        <v>0.44579754733703725</v>
      </c>
      <c r="J57" s="5">
        <f t="shared" si="4"/>
        <v>13.177243415486465</v>
      </c>
      <c r="K57" s="5">
        <f t="shared" si="5"/>
        <v>16.38156302972721</v>
      </c>
      <c r="L57" s="30"/>
      <c r="M57" s="30">
        <f t="shared" si="27"/>
        <v>1904.0178705612898</v>
      </c>
      <c r="N57" s="30">
        <f t="shared" si="28"/>
        <v>473.783232274517</v>
      </c>
      <c r="O57" s="30">
        <f t="shared" si="25"/>
        <v>2377.801102835807</v>
      </c>
      <c r="P57" s="31">
        <f t="shared" si="8"/>
        <v>0.1992526758060104</v>
      </c>
      <c r="Q57" s="5">
        <f t="shared" si="9"/>
        <v>88.68893395163464</v>
      </c>
      <c r="R57" s="24">
        <f t="shared" si="20"/>
        <v>0.6948877403115385</v>
      </c>
      <c r="S57" s="5">
        <f>($B$10*$B$4*60)/(P57*O57*Constants!$D$9/Constants!$D$6+(1-P57)*O57*Constants!$E$9/Constants!$E$6)</f>
        <v>6.201637114873302</v>
      </c>
      <c r="T57" s="5">
        <f t="shared" si="17"/>
        <v>88.68893395163464</v>
      </c>
      <c r="U57" s="24">
        <f t="shared" si="21"/>
        <v>0.04583697609888494</v>
      </c>
      <c r="V57" s="3">
        <f t="shared" si="11"/>
        <v>57249.7814340669</v>
      </c>
      <c r="W57" s="30">
        <f>V57/(R57*Constants!$D$10*Constants!$D$6+Constants!$E$6*Constants!$E$10*(1-R57))</f>
        <v>53.53973431463841</v>
      </c>
      <c r="X57" s="21">
        <f t="shared" si="18"/>
        <v>16.335629319859187</v>
      </c>
      <c r="Y57" s="21">
        <f t="shared" si="26"/>
        <v>37.20410499477922</v>
      </c>
    </row>
    <row r="58" spans="4:25" ht="12.75">
      <c r="D58" s="3">
        <f t="shared" si="19"/>
        <v>54</v>
      </c>
      <c r="E58" s="30">
        <f t="shared" si="22"/>
        <v>7783.591317413934</v>
      </c>
      <c r="F58" s="30">
        <f t="shared" si="23"/>
        <v>570.9318423695106</v>
      </c>
      <c r="G58" s="31">
        <f t="shared" si="24"/>
        <v>0.06833805250763224</v>
      </c>
      <c r="H58" s="30">
        <f>$B$10*60*$B$4/(G58*Constants!$D$10*Constants!$D$6+(1-G58)*Constants!$E$6*Constants!$E$10)</f>
        <v>29.529063912182064</v>
      </c>
      <c r="I58" s="24">
        <f t="shared" si="3"/>
        <v>0.44022530894948786</v>
      </c>
      <c r="J58" s="5">
        <f t="shared" si="4"/>
        <v>12.999441283729523</v>
      </c>
      <c r="K58" s="5">
        <f t="shared" si="5"/>
        <v>16.529622628452543</v>
      </c>
      <c r="L58" s="30"/>
      <c r="M58" s="30">
        <f t="shared" si="27"/>
        <v>1904.0638042711578</v>
      </c>
      <c r="N58" s="30">
        <f t="shared" si="28"/>
        <v>449.75637069522423</v>
      </c>
      <c r="O58" s="30">
        <f t="shared" si="25"/>
        <v>2353.820174966382</v>
      </c>
      <c r="P58" s="31">
        <f t="shared" si="8"/>
        <v>0.19107507679580824</v>
      </c>
      <c r="Q58" s="5">
        <f t="shared" si="9"/>
        <v>88.98566526694302</v>
      </c>
      <c r="R58" s="24">
        <f t="shared" si="20"/>
        <v>0.6897960289350129</v>
      </c>
      <c r="S58" s="5">
        <f>($B$10*$B$4*60)/(P58*O58*Constants!$D$9/Constants!$D$6+(1-P58)*O58*Constants!$E$9/Constants!$E$6)</f>
        <v>6.257550484699189</v>
      </c>
      <c r="T58" s="5">
        <f t="shared" si="17"/>
        <v>88.98566526694302</v>
      </c>
      <c r="U58" s="24">
        <f t="shared" si="21"/>
        <v>0.047419723745567556</v>
      </c>
      <c r="V58" s="3">
        <f t="shared" si="11"/>
        <v>57154.81657526595</v>
      </c>
      <c r="W58" s="30">
        <f>V58/(R58*Constants!$D$10*Constants!$D$6+Constants!$E$6*Constants!$E$10*(1-R58))</f>
        <v>53.062731545061894</v>
      </c>
      <c r="X58" s="21">
        <f t="shared" si="18"/>
        <v>16.460270040833556</v>
      </c>
      <c r="Y58" s="21">
        <f t="shared" si="26"/>
        <v>36.60246150422834</v>
      </c>
    </row>
  </sheetData>
  <mergeCells count="5">
    <mergeCell ref="W2:Y2"/>
    <mergeCell ref="M2:R2"/>
    <mergeCell ref="E2:H2"/>
    <mergeCell ref="I2:K2"/>
    <mergeCell ref="U2:V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Elle Ackland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&amp; Elle Ackland</dc:creator>
  <cp:keywords/>
  <dc:description/>
  <cp:lastModifiedBy>Tony Ackland</cp:lastModifiedBy>
  <cp:lastPrinted>2000-02-04T09:58:58Z</cp:lastPrinted>
  <dcterms:created xsi:type="dcterms:W3CDTF">2000-01-07T17:16:30Z</dcterms:created>
  <dcterms:modified xsi:type="dcterms:W3CDTF">2002-11-29T21:33:18Z</dcterms:modified>
  <cp:category/>
  <cp:version/>
  <cp:contentType/>
  <cp:contentStatus/>
</cp:coreProperties>
</file>